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edserials\ed55070internet\2018-19\"/>
    </mc:Choice>
  </mc:AlternateContent>
  <bookViews>
    <workbookView xWindow="0" yWindow="0" windowWidth="22155" windowHeight="7080"/>
  </bookViews>
  <sheets>
    <sheet name="payment summary" sheetId="7" r:id="rId1"/>
  </sheets>
  <externalReferences>
    <externalReference r:id="rId2"/>
  </externalReferences>
  <definedNames>
    <definedName name="_Fill" hidden="1">#REF!</definedName>
    <definedName name="_xlnm.Print_Area" localSheetId="0">'payment summary'!#REF!</definedName>
    <definedName name="_xlnm.Print_Titles" localSheetId="0">'payment summary'!#REF!,'payment summary'!#REF!</definedName>
  </definedNames>
  <calcPr calcId="152511"/>
</workbook>
</file>

<file path=xl/calcChain.xml><?xml version="1.0" encoding="utf-8"?>
<calcChain xmlns="http://schemas.openxmlformats.org/spreadsheetml/2006/main">
  <c r="O1032" i="7" l="1"/>
  <c r="N1032" i="7"/>
  <c r="M1032" i="7"/>
  <c r="L1032" i="7"/>
  <c r="K1032" i="7"/>
  <c r="J1032" i="7"/>
  <c r="I1032" i="7"/>
  <c r="H1032" i="7"/>
  <c r="G1032" i="7"/>
  <c r="F1032" i="7"/>
  <c r="E1032" i="7"/>
  <c r="D1032" i="7"/>
  <c r="O1031" i="7"/>
  <c r="N1031" i="7"/>
  <c r="M1031" i="7"/>
  <c r="L1031" i="7"/>
  <c r="K1031" i="7"/>
  <c r="J1031" i="7"/>
  <c r="I1031" i="7"/>
  <c r="H1031" i="7"/>
  <c r="G1031" i="7"/>
  <c r="F1031" i="7"/>
  <c r="E1031" i="7"/>
  <c r="D1031" i="7"/>
  <c r="P1031" i="7"/>
  <c r="O1028" i="7"/>
  <c r="N1028" i="7"/>
  <c r="M1028" i="7"/>
  <c r="L1028" i="7"/>
  <c r="K1028" i="7"/>
  <c r="J1028" i="7"/>
  <c r="I1028" i="7"/>
  <c r="H1028" i="7"/>
  <c r="G1028" i="7"/>
  <c r="F1028" i="7"/>
  <c r="E1028" i="7"/>
  <c r="D1028" i="7"/>
  <c r="P1027" i="7"/>
  <c r="P1026" i="7"/>
  <c r="P1025" i="7"/>
  <c r="P1028" i="7"/>
  <c r="O1022" i="7"/>
  <c r="N1022" i="7"/>
  <c r="M1022" i="7"/>
  <c r="L1022" i="7"/>
  <c r="K1022" i="7"/>
  <c r="J1022" i="7"/>
  <c r="I1022" i="7"/>
  <c r="H1022" i="7"/>
  <c r="G1022" i="7"/>
  <c r="F1022" i="7"/>
  <c r="E1022" i="7"/>
  <c r="D1022" i="7"/>
  <c r="P1021" i="7"/>
  <c r="P1020" i="7"/>
  <c r="P1019" i="7"/>
  <c r="P1022" i="7"/>
  <c r="M1016" i="7"/>
  <c r="L1016" i="7"/>
  <c r="K1016" i="7"/>
  <c r="J1016" i="7"/>
  <c r="I1016" i="7"/>
  <c r="H1016" i="7"/>
  <c r="G1016" i="7"/>
  <c r="F1016" i="7"/>
  <c r="E1016" i="7"/>
  <c r="D1016" i="7"/>
  <c r="O1015" i="7"/>
  <c r="O1016" i="7"/>
  <c r="N1015" i="7"/>
  <c r="N1016" i="7"/>
  <c r="M1015" i="7"/>
  <c r="L1015" i="7"/>
  <c r="P1014" i="7"/>
  <c r="P1013" i="7"/>
  <c r="O1010" i="7"/>
  <c r="N1010" i="7"/>
  <c r="M1010" i="7"/>
  <c r="L1010" i="7"/>
  <c r="K1010" i="7"/>
  <c r="J1010" i="7"/>
  <c r="I1010" i="7"/>
  <c r="H1010" i="7"/>
  <c r="G1010" i="7"/>
  <c r="F1010" i="7"/>
  <c r="E1010" i="7"/>
  <c r="D1010" i="7"/>
  <c r="P1009" i="7"/>
  <c r="P1008" i="7"/>
  <c r="P1007" i="7"/>
  <c r="O1004" i="7"/>
  <c r="N1004" i="7"/>
  <c r="M1004" i="7"/>
  <c r="L1004" i="7"/>
  <c r="K1004" i="7"/>
  <c r="J1004" i="7"/>
  <c r="I1004" i="7"/>
  <c r="H1004" i="7"/>
  <c r="G1004" i="7"/>
  <c r="F1004" i="7"/>
  <c r="E1004" i="7"/>
  <c r="D1004" i="7"/>
  <c r="P1003" i="7"/>
  <c r="P1002" i="7"/>
  <c r="P1004" i="7"/>
  <c r="P1001" i="7"/>
  <c r="O998" i="7"/>
  <c r="N998" i="7"/>
  <c r="M998" i="7"/>
  <c r="L998" i="7"/>
  <c r="K998" i="7"/>
  <c r="J998" i="7"/>
  <c r="I998" i="7"/>
  <c r="H998" i="7"/>
  <c r="G998" i="7"/>
  <c r="F998" i="7"/>
  <c r="E998" i="7"/>
  <c r="D998" i="7"/>
  <c r="P997" i="7"/>
  <c r="P996" i="7"/>
  <c r="P998" i="7"/>
  <c r="P995" i="7"/>
  <c r="O992" i="7"/>
  <c r="N992" i="7"/>
  <c r="G992" i="7"/>
  <c r="F992" i="7"/>
  <c r="D992" i="7"/>
  <c r="O991" i="7"/>
  <c r="N991" i="7"/>
  <c r="M991" i="7"/>
  <c r="M992" i="7"/>
  <c r="L991" i="7"/>
  <c r="L992" i="7"/>
  <c r="K991" i="7"/>
  <c r="K992" i="7"/>
  <c r="J991" i="7"/>
  <c r="J992" i="7"/>
  <c r="I991" i="7"/>
  <c r="I992" i="7"/>
  <c r="H991" i="7"/>
  <c r="H992" i="7"/>
  <c r="G991" i="7"/>
  <c r="F991" i="7"/>
  <c r="E991" i="7"/>
  <c r="E992" i="7"/>
  <c r="P990" i="7"/>
  <c r="P989" i="7"/>
  <c r="O986" i="7"/>
  <c r="N986" i="7"/>
  <c r="M986" i="7"/>
  <c r="L986" i="7"/>
  <c r="K986" i="7"/>
  <c r="J986" i="7"/>
  <c r="I986" i="7"/>
  <c r="H986" i="7"/>
  <c r="G986" i="7"/>
  <c r="F986" i="7"/>
  <c r="E986" i="7"/>
  <c r="D986" i="7"/>
  <c r="P985" i="7"/>
  <c r="P986" i="7"/>
  <c r="P984" i="7"/>
  <c r="P983" i="7"/>
  <c r="O980" i="7"/>
  <c r="N980" i="7"/>
  <c r="M980" i="7"/>
  <c r="L980" i="7"/>
  <c r="K980" i="7"/>
  <c r="J980" i="7"/>
  <c r="I980" i="7"/>
  <c r="H980" i="7"/>
  <c r="G980" i="7"/>
  <c r="F980" i="7"/>
  <c r="E980" i="7"/>
  <c r="D980" i="7"/>
  <c r="P979" i="7"/>
  <c r="P980" i="7"/>
  <c r="P978" i="7"/>
  <c r="P977" i="7"/>
  <c r="O974" i="7"/>
  <c r="N974" i="7"/>
  <c r="M974" i="7"/>
  <c r="L974" i="7"/>
  <c r="K974" i="7"/>
  <c r="J974" i="7"/>
  <c r="I974" i="7"/>
  <c r="H974" i="7"/>
  <c r="G974" i="7"/>
  <c r="F974" i="7"/>
  <c r="E974" i="7"/>
  <c r="D974" i="7"/>
  <c r="P973" i="7"/>
  <c r="P974" i="7"/>
  <c r="P972" i="7"/>
  <c r="P971" i="7"/>
  <c r="O968" i="7"/>
  <c r="N968" i="7"/>
  <c r="M968" i="7"/>
  <c r="L968" i="7"/>
  <c r="K968" i="7"/>
  <c r="J968" i="7"/>
  <c r="I968" i="7"/>
  <c r="H968" i="7"/>
  <c r="G968" i="7"/>
  <c r="F968" i="7"/>
  <c r="E968" i="7"/>
  <c r="D968" i="7"/>
  <c r="P967" i="7"/>
  <c r="P968" i="7"/>
  <c r="P966" i="7"/>
  <c r="P965" i="7"/>
  <c r="O962" i="7"/>
  <c r="N962" i="7"/>
  <c r="M962" i="7"/>
  <c r="L962" i="7"/>
  <c r="K962" i="7"/>
  <c r="J962" i="7"/>
  <c r="I962" i="7"/>
  <c r="H962" i="7"/>
  <c r="G962" i="7"/>
  <c r="F962" i="7"/>
  <c r="E962" i="7"/>
  <c r="D962" i="7"/>
  <c r="P961" i="7"/>
  <c r="P962" i="7"/>
  <c r="P960" i="7"/>
  <c r="P959" i="7"/>
  <c r="L956" i="7"/>
  <c r="I956" i="7"/>
  <c r="D956" i="7"/>
  <c r="O955" i="7"/>
  <c r="O956" i="7"/>
  <c r="N955" i="7"/>
  <c r="N956" i="7"/>
  <c r="M955" i="7"/>
  <c r="M956" i="7"/>
  <c r="L955" i="7"/>
  <c r="K955" i="7"/>
  <c r="K956" i="7"/>
  <c r="J955" i="7"/>
  <c r="J956" i="7"/>
  <c r="I955" i="7"/>
  <c r="H955" i="7"/>
  <c r="H956" i="7"/>
  <c r="G955" i="7"/>
  <c r="G956" i="7"/>
  <c r="F955" i="7"/>
  <c r="F956" i="7"/>
  <c r="E955" i="7"/>
  <c r="E956" i="7"/>
  <c r="D955" i="7"/>
  <c r="P954" i="7"/>
  <c r="P953" i="7"/>
  <c r="O950" i="7"/>
  <c r="N950" i="7"/>
  <c r="M950" i="7"/>
  <c r="L950" i="7"/>
  <c r="K950" i="7"/>
  <c r="J950" i="7"/>
  <c r="I950" i="7"/>
  <c r="H950" i="7"/>
  <c r="G950" i="7"/>
  <c r="F950" i="7"/>
  <c r="E950" i="7"/>
  <c r="D950" i="7"/>
  <c r="P949" i="7"/>
  <c r="P948" i="7"/>
  <c r="P947" i="7"/>
  <c r="P950" i="7"/>
  <c r="N944" i="7"/>
  <c r="M944" i="7"/>
  <c r="F944" i="7"/>
  <c r="E944" i="7"/>
  <c r="O943" i="7"/>
  <c r="O944" i="7"/>
  <c r="N943" i="7"/>
  <c r="M943" i="7"/>
  <c r="L943" i="7"/>
  <c r="L944" i="7"/>
  <c r="K943" i="7"/>
  <c r="K944" i="7"/>
  <c r="J943" i="7"/>
  <c r="J944" i="7"/>
  <c r="I943" i="7"/>
  <c r="I944" i="7"/>
  <c r="H943" i="7"/>
  <c r="H944" i="7"/>
  <c r="G943" i="7"/>
  <c r="G944" i="7"/>
  <c r="F943" i="7"/>
  <c r="E943" i="7"/>
  <c r="D943" i="7"/>
  <c r="D944" i="7"/>
  <c r="P942" i="7"/>
  <c r="P941" i="7"/>
  <c r="L938" i="7"/>
  <c r="I938" i="7"/>
  <c r="D938" i="7"/>
  <c r="O937" i="7"/>
  <c r="O938" i="7"/>
  <c r="N937" i="7"/>
  <c r="N938" i="7"/>
  <c r="M937" i="7"/>
  <c r="M938" i="7"/>
  <c r="L937" i="7"/>
  <c r="K937" i="7"/>
  <c r="K938" i="7"/>
  <c r="J937" i="7"/>
  <c r="J938" i="7"/>
  <c r="I937" i="7"/>
  <c r="H937" i="7"/>
  <c r="H938" i="7"/>
  <c r="G937" i="7"/>
  <c r="G938" i="7"/>
  <c r="F937" i="7"/>
  <c r="F938" i="7"/>
  <c r="E937" i="7"/>
  <c r="E938" i="7"/>
  <c r="D937" i="7"/>
  <c r="P936" i="7"/>
  <c r="P935" i="7"/>
  <c r="N932" i="7"/>
  <c r="M932" i="7"/>
  <c r="L932" i="7"/>
  <c r="K932" i="7"/>
  <c r="J932" i="7"/>
  <c r="I932" i="7"/>
  <c r="H932" i="7"/>
  <c r="G932" i="7"/>
  <c r="F932" i="7"/>
  <c r="E932" i="7"/>
  <c r="D932" i="7"/>
  <c r="O931" i="7"/>
  <c r="O932" i="7"/>
  <c r="P931" i="7"/>
  <c r="P930" i="7"/>
  <c r="P929" i="7"/>
  <c r="N926" i="7"/>
  <c r="M926" i="7"/>
  <c r="L926" i="7"/>
  <c r="K926" i="7"/>
  <c r="J926" i="7"/>
  <c r="I926" i="7"/>
  <c r="H926" i="7"/>
  <c r="G926" i="7"/>
  <c r="F926" i="7"/>
  <c r="E926" i="7"/>
  <c r="D926" i="7"/>
  <c r="O925" i="7"/>
  <c r="O926" i="7"/>
  <c r="P925" i="7"/>
  <c r="N925" i="7"/>
  <c r="P924" i="7"/>
  <c r="P923" i="7"/>
  <c r="O919" i="7"/>
  <c r="O920" i="7"/>
  <c r="N919" i="7"/>
  <c r="N920" i="7"/>
  <c r="M919" i="7"/>
  <c r="M920" i="7"/>
  <c r="L919" i="7"/>
  <c r="L920" i="7"/>
  <c r="K919" i="7"/>
  <c r="K920" i="7"/>
  <c r="J919" i="7"/>
  <c r="J920" i="7"/>
  <c r="I919" i="7"/>
  <c r="I920" i="7"/>
  <c r="H919" i="7"/>
  <c r="G919" i="7"/>
  <c r="G920" i="7"/>
  <c r="F919" i="7"/>
  <c r="F920" i="7"/>
  <c r="E919" i="7"/>
  <c r="E920" i="7"/>
  <c r="D919" i="7"/>
  <c r="P918" i="7"/>
  <c r="P917" i="7"/>
  <c r="G914" i="7"/>
  <c r="O913" i="7"/>
  <c r="O914" i="7"/>
  <c r="N913" i="7"/>
  <c r="N914" i="7"/>
  <c r="M913" i="7"/>
  <c r="M914" i="7"/>
  <c r="L913" i="7"/>
  <c r="L914" i="7"/>
  <c r="K913" i="7"/>
  <c r="K914" i="7"/>
  <c r="J913" i="7"/>
  <c r="J914" i="7"/>
  <c r="I913" i="7"/>
  <c r="I914" i="7"/>
  <c r="H913" i="7"/>
  <c r="H914" i="7"/>
  <c r="G913" i="7"/>
  <c r="F913" i="7"/>
  <c r="F914" i="7"/>
  <c r="E913" i="7"/>
  <c r="E914" i="7"/>
  <c r="D913" i="7"/>
  <c r="D914" i="7"/>
  <c r="P912" i="7"/>
  <c r="P911" i="7"/>
  <c r="I908" i="7"/>
  <c r="O907" i="7"/>
  <c r="O908" i="7"/>
  <c r="N907" i="7"/>
  <c r="N908" i="7"/>
  <c r="M907" i="7"/>
  <c r="M908" i="7"/>
  <c r="L907" i="7"/>
  <c r="L908" i="7"/>
  <c r="K907" i="7"/>
  <c r="K908" i="7"/>
  <c r="J907" i="7"/>
  <c r="J908" i="7"/>
  <c r="I907" i="7"/>
  <c r="H907" i="7"/>
  <c r="H908" i="7"/>
  <c r="G907" i="7"/>
  <c r="G908" i="7"/>
  <c r="F907" i="7"/>
  <c r="F908" i="7"/>
  <c r="E907" i="7"/>
  <c r="E908" i="7"/>
  <c r="D907" i="7"/>
  <c r="P907" i="7"/>
  <c r="P906" i="7"/>
  <c r="P905" i="7"/>
  <c r="D896" i="7"/>
  <c r="O895" i="7"/>
  <c r="O896" i="7"/>
  <c r="N895" i="7"/>
  <c r="N896" i="7"/>
  <c r="M895" i="7"/>
  <c r="M896" i="7"/>
  <c r="L895" i="7"/>
  <c r="L896" i="7"/>
  <c r="K895" i="7"/>
  <c r="K896" i="7"/>
  <c r="J895" i="7"/>
  <c r="J896" i="7"/>
  <c r="I895" i="7"/>
  <c r="I896" i="7"/>
  <c r="H895" i="7"/>
  <c r="G895" i="7"/>
  <c r="G896" i="7"/>
  <c r="F895" i="7"/>
  <c r="F896" i="7"/>
  <c r="E895" i="7"/>
  <c r="E896" i="7"/>
  <c r="D895" i="7"/>
  <c r="P895" i="7"/>
  <c r="P896" i="7"/>
  <c r="P894" i="7"/>
  <c r="P893" i="7"/>
  <c r="J890" i="7"/>
  <c r="H890" i="7"/>
  <c r="G890" i="7"/>
  <c r="F890" i="7"/>
  <c r="E890" i="7"/>
  <c r="D890" i="7"/>
  <c r="O889" i="7"/>
  <c r="O890" i="7"/>
  <c r="N889" i="7"/>
  <c r="N890" i="7"/>
  <c r="M889" i="7"/>
  <c r="M890" i="7"/>
  <c r="L889" i="7"/>
  <c r="L890" i="7"/>
  <c r="K889" i="7"/>
  <c r="K890" i="7"/>
  <c r="J889" i="7"/>
  <c r="I889" i="7"/>
  <c r="I890" i="7"/>
  <c r="P888" i="7"/>
  <c r="P887" i="7"/>
  <c r="O884" i="7"/>
  <c r="H884" i="7"/>
  <c r="G884" i="7"/>
  <c r="O883" i="7"/>
  <c r="N883" i="7"/>
  <c r="N884" i="7"/>
  <c r="M883" i="7"/>
  <c r="M884" i="7"/>
  <c r="L883" i="7"/>
  <c r="L884" i="7"/>
  <c r="K883" i="7"/>
  <c r="K884" i="7"/>
  <c r="J883" i="7"/>
  <c r="J884" i="7"/>
  <c r="I883" i="7"/>
  <c r="H883" i="7"/>
  <c r="G883" i="7"/>
  <c r="F883" i="7"/>
  <c r="F884" i="7"/>
  <c r="E883" i="7"/>
  <c r="E884" i="7"/>
  <c r="D883" i="7"/>
  <c r="P882" i="7"/>
  <c r="P881" i="7"/>
  <c r="N878" i="7"/>
  <c r="G878" i="7"/>
  <c r="F878" i="7"/>
  <c r="E878" i="7"/>
  <c r="D878" i="7"/>
  <c r="O877" i="7"/>
  <c r="O878" i="7"/>
  <c r="N877" i="7"/>
  <c r="M877" i="7"/>
  <c r="M878" i="7"/>
  <c r="L877" i="7"/>
  <c r="L878" i="7"/>
  <c r="K877" i="7"/>
  <c r="K878" i="7"/>
  <c r="J877" i="7"/>
  <c r="J878" i="7"/>
  <c r="I877" i="7"/>
  <c r="I878" i="7"/>
  <c r="H877" i="7"/>
  <c r="H878" i="7"/>
  <c r="P876" i="7"/>
  <c r="P875" i="7"/>
  <c r="L872" i="7"/>
  <c r="K872" i="7"/>
  <c r="D872" i="7"/>
  <c r="O871" i="7"/>
  <c r="O872" i="7"/>
  <c r="N871" i="7"/>
  <c r="N872" i="7"/>
  <c r="M871" i="7"/>
  <c r="M872" i="7"/>
  <c r="L871" i="7"/>
  <c r="K871" i="7"/>
  <c r="J871" i="7"/>
  <c r="J872" i="7"/>
  <c r="I871" i="7"/>
  <c r="I872" i="7"/>
  <c r="H871" i="7"/>
  <c r="H872" i="7"/>
  <c r="G871" i="7"/>
  <c r="G872" i="7"/>
  <c r="F871" i="7"/>
  <c r="F872" i="7"/>
  <c r="E871" i="7"/>
  <c r="E872" i="7"/>
  <c r="D871" i="7"/>
  <c r="P870" i="7"/>
  <c r="P869" i="7"/>
  <c r="O866" i="7"/>
  <c r="J866" i="7"/>
  <c r="G866" i="7"/>
  <c r="O865" i="7"/>
  <c r="N865" i="7"/>
  <c r="N866" i="7"/>
  <c r="M865" i="7"/>
  <c r="M866" i="7"/>
  <c r="L865" i="7"/>
  <c r="L866" i="7"/>
  <c r="K865" i="7"/>
  <c r="K866" i="7"/>
  <c r="J865" i="7"/>
  <c r="I865" i="7"/>
  <c r="I866" i="7"/>
  <c r="H865" i="7"/>
  <c r="H866" i="7"/>
  <c r="G865" i="7"/>
  <c r="F865" i="7"/>
  <c r="F866" i="7"/>
  <c r="E865" i="7"/>
  <c r="D865" i="7"/>
  <c r="P864" i="7"/>
  <c r="P863" i="7"/>
  <c r="O860" i="7"/>
  <c r="N860" i="7"/>
  <c r="M860" i="7"/>
  <c r="L860" i="7"/>
  <c r="K860" i="7"/>
  <c r="J860" i="7"/>
  <c r="I860" i="7"/>
  <c r="H860" i="7"/>
  <c r="G860" i="7"/>
  <c r="F860" i="7"/>
  <c r="E860" i="7"/>
  <c r="D860" i="7"/>
  <c r="P859" i="7"/>
  <c r="P858" i="7"/>
  <c r="P860" i="7"/>
  <c r="P857" i="7"/>
  <c r="O854" i="7"/>
  <c r="N854" i="7"/>
  <c r="M854" i="7"/>
  <c r="L854" i="7"/>
  <c r="K854" i="7"/>
  <c r="J854" i="7"/>
  <c r="I854" i="7"/>
  <c r="H854" i="7"/>
  <c r="G854" i="7"/>
  <c r="F854" i="7"/>
  <c r="E854" i="7"/>
  <c r="D854" i="7"/>
  <c r="P853" i="7"/>
  <c r="P852" i="7"/>
  <c r="P854" i="7"/>
  <c r="P851" i="7"/>
  <c r="M848" i="7"/>
  <c r="H848" i="7"/>
  <c r="G848" i="7"/>
  <c r="F848" i="7"/>
  <c r="E848" i="7"/>
  <c r="D848" i="7"/>
  <c r="O847" i="7"/>
  <c r="O848" i="7"/>
  <c r="N847" i="7"/>
  <c r="N848" i="7"/>
  <c r="M847" i="7"/>
  <c r="L847" i="7"/>
  <c r="L848" i="7"/>
  <c r="K847" i="7"/>
  <c r="K848" i="7"/>
  <c r="J847" i="7"/>
  <c r="J848" i="7"/>
  <c r="I847" i="7"/>
  <c r="P846" i="7"/>
  <c r="P845" i="7"/>
  <c r="M842" i="7"/>
  <c r="E842" i="7"/>
  <c r="O841" i="7"/>
  <c r="O842" i="7"/>
  <c r="N841" i="7"/>
  <c r="N842" i="7"/>
  <c r="M841" i="7"/>
  <c r="L841" i="7"/>
  <c r="L842" i="7"/>
  <c r="K841" i="7"/>
  <c r="K842" i="7"/>
  <c r="J841" i="7"/>
  <c r="J842" i="7"/>
  <c r="I841" i="7"/>
  <c r="I842" i="7"/>
  <c r="H841" i="7"/>
  <c r="H842" i="7"/>
  <c r="G841" i="7"/>
  <c r="G842" i="7"/>
  <c r="F841" i="7"/>
  <c r="F842" i="7"/>
  <c r="E841" i="7"/>
  <c r="D841" i="7"/>
  <c r="D842" i="7"/>
  <c r="P840" i="7"/>
  <c r="P839" i="7"/>
  <c r="I836" i="7"/>
  <c r="O835" i="7"/>
  <c r="O836" i="7"/>
  <c r="N835" i="7"/>
  <c r="N836" i="7"/>
  <c r="M835" i="7"/>
  <c r="M836" i="7"/>
  <c r="L835" i="7"/>
  <c r="L836" i="7"/>
  <c r="K835" i="7"/>
  <c r="K836" i="7"/>
  <c r="J835" i="7"/>
  <c r="J836" i="7"/>
  <c r="I835" i="7"/>
  <c r="H835" i="7"/>
  <c r="H836" i="7"/>
  <c r="G835" i="7"/>
  <c r="G836" i="7"/>
  <c r="F835" i="7"/>
  <c r="F836" i="7"/>
  <c r="E835" i="7"/>
  <c r="E836" i="7"/>
  <c r="D835" i="7"/>
  <c r="P834" i="7"/>
  <c r="P833" i="7"/>
  <c r="J830" i="7"/>
  <c r="O829" i="7"/>
  <c r="O830" i="7"/>
  <c r="N829" i="7"/>
  <c r="N830" i="7"/>
  <c r="M829" i="7"/>
  <c r="M830" i="7"/>
  <c r="L829" i="7"/>
  <c r="L830" i="7"/>
  <c r="K829" i="7"/>
  <c r="K830" i="7"/>
  <c r="J829" i="7"/>
  <c r="I829" i="7"/>
  <c r="I830" i="7"/>
  <c r="H829" i="7"/>
  <c r="H830" i="7"/>
  <c r="G829" i="7"/>
  <c r="G830" i="7"/>
  <c r="F829" i="7"/>
  <c r="F830" i="7"/>
  <c r="E829" i="7"/>
  <c r="E830" i="7"/>
  <c r="D829" i="7"/>
  <c r="D830" i="7"/>
  <c r="P828" i="7"/>
  <c r="P827" i="7"/>
  <c r="O824" i="7"/>
  <c r="N824" i="7"/>
  <c r="M824" i="7"/>
  <c r="L824" i="7"/>
  <c r="K824" i="7"/>
  <c r="J824" i="7"/>
  <c r="I824" i="7"/>
  <c r="H824" i="7"/>
  <c r="G824" i="7"/>
  <c r="F824" i="7"/>
  <c r="E824" i="7"/>
  <c r="D824" i="7"/>
  <c r="P823" i="7"/>
  <c r="P822" i="7"/>
  <c r="P821" i="7"/>
  <c r="N818" i="7"/>
  <c r="F818" i="7"/>
  <c r="O817" i="7"/>
  <c r="O818" i="7"/>
  <c r="N817" i="7"/>
  <c r="M817" i="7"/>
  <c r="M818" i="7"/>
  <c r="L817" i="7"/>
  <c r="L818" i="7"/>
  <c r="K817" i="7"/>
  <c r="K818" i="7"/>
  <c r="J817" i="7"/>
  <c r="J818" i="7"/>
  <c r="I817" i="7"/>
  <c r="I818" i="7"/>
  <c r="H817" i="7"/>
  <c r="G817" i="7"/>
  <c r="G818" i="7"/>
  <c r="F817" i="7"/>
  <c r="E817" i="7"/>
  <c r="E818" i="7"/>
  <c r="D817" i="7"/>
  <c r="P816" i="7"/>
  <c r="P815" i="7"/>
  <c r="K812" i="7"/>
  <c r="O811" i="7"/>
  <c r="O812" i="7"/>
  <c r="N811" i="7"/>
  <c r="N812" i="7"/>
  <c r="M811" i="7"/>
  <c r="M812" i="7"/>
  <c r="L811" i="7"/>
  <c r="L812" i="7"/>
  <c r="K811" i="7"/>
  <c r="J811" i="7"/>
  <c r="J812" i="7"/>
  <c r="I811" i="7"/>
  <c r="I812" i="7"/>
  <c r="H811" i="7"/>
  <c r="H812" i="7"/>
  <c r="G811" i="7"/>
  <c r="G812" i="7"/>
  <c r="F811" i="7"/>
  <c r="F812" i="7"/>
  <c r="E811" i="7"/>
  <c r="E812" i="7"/>
  <c r="D811" i="7"/>
  <c r="D812" i="7"/>
  <c r="P810" i="7"/>
  <c r="P809" i="7"/>
  <c r="O806" i="7"/>
  <c r="G806" i="7"/>
  <c r="O805" i="7"/>
  <c r="N805" i="7"/>
  <c r="N806" i="7"/>
  <c r="M805" i="7"/>
  <c r="M806" i="7"/>
  <c r="L805" i="7"/>
  <c r="L806" i="7"/>
  <c r="K805" i="7"/>
  <c r="K806" i="7"/>
  <c r="J805" i="7"/>
  <c r="J806" i="7"/>
  <c r="I805" i="7"/>
  <c r="I806" i="7"/>
  <c r="H805" i="7"/>
  <c r="H806" i="7"/>
  <c r="G805" i="7"/>
  <c r="F805" i="7"/>
  <c r="F806" i="7"/>
  <c r="E805" i="7"/>
  <c r="D805" i="7"/>
  <c r="P804" i="7"/>
  <c r="P803" i="7"/>
  <c r="M800" i="7"/>
  <c r="L800" i="7"/>
  <c r="E800" i="7"/>
  <c r="D800" i="7"/>
  <c r="O799" i="7"/>
  <c r="O800" i="7"/>
  <c r="N799" i="7"/>
  <c r="N800" i="7"/>
  <c r="M799" i="7"/>
  <c r="L799" i="7"/>
  <c r="K799" i="7"/>
  <c r="K800" i="7"/>
  <c r="J799" i="7"/>
  <c r="J800" i="7"/>
  <c r="I799" i="7"/>
  <c r="I800" i="7"/>
  <c r="H799" i="7"/>
  <c r="P799" i="7"/>
  <c r="G799" i="7"/>
  <c r="G800" i="7"/>
  <c r="F799" i="7"/>
  <c r="F800" i="7"/>
  <c r="E799" i="7"/>
  <c r="D799" i="7"/>
  <c r="P798" i="7"/>
  <c r="P797" i="7"/>
  <c r="I794" i="7"/>
  <c r="H794" i="7"/>
  <c r="O793" i="7"/>
  <c r="O794" i="7"/>
  <c r="N793" i="7"/>
  <c r="N794" i="7"/>
  <c r="M793" i="7"/>
  <c r="M794" i="7"/>
  <c r="L793" i="7"/>
  <c r="L794" i="7"/>
  <c r="K793" i="7"/>
  <c r="K794" i="7"/>
  <c r="J793" i="7"/>
  <c r="J794" i="7"/>
  <c r="I793" i="7"/>
  <c r="H793" i="7"/>
  <c r="G793" i="7"/>
  <c r="G794" i="7"/>
  <c r="F793" i="7"/>
  <c r="F794" i="7"/>
  <c r="E793" i="7"/>
  <c r="E794" i="7"/>
  <c r="D793" i="7"/>
  <c r="P793" i="7"/>
  <c r="P792" i="7"/>
  <c r="P791" i="7"/>
  <c r="M788" i="7"/>
  <c r="J788" i="7"/>
  <c r="E788" i="7"/>
  <c r="O787" i="7"/>
  <c r="O788" i="7"/>
  <c r="N787" i="7"/>
  <c r="N788" i="7"/>
  <c r="M787" i="7"/>
  <c r="L787" i="7"/>
  <c r="L788" i="7"/>
  <c r="K787" i="7"/>
  <c r="K788" i="7"/>
  <c r="J787" i="7"/>
  <c r="I787" i="7"/>
  <c r="I788" i="7"/>
  <c r="H787" i="7"/>
  <c r="G787" i="7"/>
  <c r="G788" i="7"/>
  <c r="F787" i="7"/>
  <c r="F788" i="7"/>
  <c r="E787" i="7"/>
  <c r="D787" i="7"/>
  <c r="D788" i="7"/>
  <c r="P786" i="7"/>
  <c r="P785" i="7"/>
  <c r="N782" i="7"/>
  <c r="I782" i="7"/>
  <c r="F782" i="7"/>
  <c r="O781" i="7"/>
  <c r="O782" i="7"/>
  <c r="N781" i="7"/>
  <c r="M781" i="7"/>
  <c r="M782" i="7"/>
  <c r="L781" i="7"/>
  <c r="L782" i="7"/>
  <c r="K781" i="7"/>
  <c r="K782" i="7"/>
  <c r="J781" i="7"/>
  <c r="J782" i="7"/>
  <c r="I781" i="7"/>
  <c r="H781" i="7"/>
  <c r="H782" i="7"/>
  <c r="G781" i="7"/>
  <c r="G782" i="7"/>
  <c r="F781" i="7"/>
  <c r="E781" i="7"/>
  <c r="E782" i="7"/>
  <c r="D781" i="7"/>
  <c r="P780" i="7"/>
  <c r="P779" i="7"/>
  <c r="O776" i="7"/>
  <c r="N776" i="7"/>
  <c r="M776" i="7"/>
  <c r="L776" i="7"/>
  <c r="K776" i="7"/>
  <c r="J776" i="7"/>
  <c r="I776" i="7"/>
  <c r="H776" i="7"/>
  <c r="G776" i="7"/>
  <c r="F776" i="7"/>
  <c r="E776" i="7"/>
  <c r="D776" i="7"/>
  <c r="P775" i="7"/>
  <c r="P774" i="7"/>
  <c r="P773" i="7"/>
  <c r="P776" i="7"/>
  <c r="K770" i="7"/>
  <c r="J770" i="7"/>
  <c r="O769" i="7"/>
  <c r="O770" i="7"/>
  <c r="N769" i="7"/>
  <c r="N770" i="7"/>
  <c r="M769" i="7"/>
  <c r="M770" i="7"/>
  <c r="L769" i="7"/>
  <c r="L770" i="7"/>
  <c r="K769" i="7"/>
  <c r="J769" i="7"/>
  <c r="I769" i="7"/>
  <c r="I770" i="7"/>
  <c r="H769" i="7"/>
  <c r="H770" i="7"/>
  <c r="G769" i="7"/>
  <c r="G770" i="7"/>
  <c r="F769" i="7"/>
  <c r="F770" i="7"/>
  <c r="E769" i="7"/>
  <c r="E770" i="7"/>
  <c r="D769" i="7"/>
  <c r="D770" i="7"/>
  <c r="P768" i="7"/>
  <c r="P767" i="7"/>
  <c r="O764" i="7"/>
  <c r="N764" i="7"/>
  <c r="F764" i="7"/>
  <c r="O763" i="7"/>
  <c r="N763" i="7"/>
  <c r="M763" i="7"/>
  <c r="M764" i="7"/>
  <c r="L763" i="7"/>
  <c r="L764" i="7"/>
  <c r="K763" i="7"/>
  <c r="K764" i="7"/>
  <c r="J763" i="7"/>
  <c r="J764" i="7"/>
  <c r="I763" i="7"/>
  <c r="I764" i="7"/>
  <c r="H763" i="7"/>
  <c r="G763" i="7"/>
  <c r="G764" i="7"/>
  <c r="F763" i="7"/>
  <c r="E763" i="7"/>
  <c r="E764" i="7"/>
  <c r="D763" i="7"/>
  <c r="P762" i="7"/>
  <c r="P761" i="7"/>
  <c r="K758" i="7"/>
  <c r="O757" i="7"/>
  <c r="O758" i="7"/>
  <c r="N757" i="7"/>
  <c r="N758" i="7"/>
  <c r="M757" i="7"/>
  <c r="M758" i="7"/>
  <c r="L757" i="7"/>
  <c r="L758" i="7"/>
  <c r="K757" i="7"/>
  <c r="J757" i="7"/>
  <c r="J758" i="7"/>
  <c r="I757" i="7"/>
  <c r="I758" i="7"/>
  <c r="H757" i="7"/>
  <c r="G757" i="7"/>
  <c r="G758" i="7"/>
  <c r="F757" i="7"/>
  <c r="F758" i="7"/>
  <c r="E757" i="7"/>
  <c r="E758" i="7"/>
  <c r="D757" i="7"/>
  <c r="D758" i="7"/>
  <c r="P756" i="7"/>
  <c r="P755" i="7"/>
  <c r="O752" i="7"/>
  <c r="I752" i="7"/>
  <c r="O751" i="7"/>
  <c r="N751" i="7"/>
  <c r="N752" i="7"/>
  <c r="M751" i="7"/>
  <c r="M752" i="7"/>
  <c r="L751" i="7"/>
  <c r="L752" i="7"/>
  <c r="K751" i="7"/>
  <c r="K752" i="7"/>
  <c r="J751" i="7"/>
  <c r="J752" i="7"/>
  <c r="I751" i="7"/>
  <c r="H751" i="7"/>
  <c r="H752" i="7"/>
  <c r="G751" i="7"/>
  <c r="G752" i="7"/>
  <c r="F751" i="7"/>
  <c r="F752" i="7"/>
  <c r="E751" i="7"/>
  <c r="E752" i="7"/>
  <c r="D751" i="7"/>
  <c r="P751" i="7"/>
  <c r="P750" i="7"/>
  <c r="P749" i="7"/>
  <c r="K746" i="7"/>
  <c r="J746" i="7"/>
  <c r="O745" i="7"/>
  <c r="O746" i="7"/>
  <c r="N745" i="7"/>
  <c r="N746" i="7"/>
  <c r="M745" i="7"/>
  <c r="M746" i="7"/>
  <c r="L745" i="7"/>
  <c r="L746" i="7"/>
  <c r="K745" i="7"/>
  <c r="J745" i="7"/>
  <c r="I745" i="7"/>
  <c r="I746" i="7"/>
  <c r="H745" i="7"/>
  <c r="H746" i="7"/>
  <c r="G745" i="7"/>
  <c r="G746" i="7"/>
  <c r="F745" i="7"/>
  <c r="F746" i="7"/>
  <c r="E745" i="7"/>
  <c r="E746" i="7"/>
  <c r="D745" i="7"/>
  <c r="D746" i="7"/>
  <c r="P744" i="7"/>
  <c r="P743" i="7"/>
  <c r="O734" i="7"/>
  <c r="N734" i="7"/>
  <c r="G734" i="7"/>
  <c r="F734" i="7"/>
  <c r="O733" i="7"/>
  <c r="N733" i="7"/>
  <c r="M733" i="7"/>
  <c r="M734" i="7"/>
  <c r="L733" i="7"/>
  <c r="L734" i="7"/>
  <c r="K733" i="7"/>
  <c r="K734" i="7"/>
  <c r="J733" i="7"/>
  <c r="J734" i="7"/>
  <c r="I733" i="7"/>
  <c r="I734" i="7"/>
  <c r="H733" i="7"/>
  <c r="H734" i="7"/>
  <c r="G733" i="7"/>
  <c r="F733" i="7"/>
  <c r="E733" i="7"/>
  <c r="E734" i="7"/>
  <c r="D733" i="7"/>
  <c r="P732" i="7"/>
  <c r="P731" i="7"/>
  <c r="L728" i="7"/>
  <c r="K728" i="7"/>
  <c r="D728" i="7"/>
  <c r="O727" i="7"/>
  <c r="O728" i="7"/>
  <c r="N727" i="7"/>
  <c r="N728" i="7"/>
  <c r="M727" i="7"/>
  <c r="M728" i="7"/>
  <c r="L727" i="7"/>
  <c r="K727" i="7"/>
  <c r="J727" i="7"/>
  <c r="J728" i="7"/>
  <c r="I727" i="7"/>
  <c r="I728" i="7"/>
  <c r="H727" i="7"/>
  <c r="G727" i="7"/>
  <c r="G728" i="7"/>
  <c r="F727" i="7"/>
  <c r="F728" i="7"/>
  <c r="E727" i="7"/>
  <c r="E728" i="7"/>
  <c r="D727" i="7"/>
  <c r="P726" i="7"/>
  <c r="P725" i="7"/>
  <c r="O722" i="7"/>
  <c r="N722" i="7"/>
  <c r="M722" i="7"/>
  <c r="L722" i="7"/>
  <c r="K722" i="7"/>
  <c r="J722" i="7"/>
  <c r="I722" i="7"/>
  <c r="H722" i="7"/>
  <c r="G722" i="7"/>
  <c r="F722" i="7"/>
  <c r="E722" i="7"/>
  <c r="D722" i="7"/>
  <c r="P721" i="7"/>
  <c r="P720" i="7"/>
  <c r="P719" i="7"/>
  <c r="P722" i="7"/>
  <c r="O716" i="7"/>
  <c r="N716" i="7"/>
  <c r="M716" i="7"/>
  <c r="L716" i="7"/>
  <c r="K716" i="7"/>
  <c r="J716" i="7"/>
  <c r="I716" i="7"/>
  <c r="H716" i="7"/>
  <c r="G716" i="7"/>
  <c r="F716" i="7"/>
  <c r="E716" i="7"/>
  <c r="D716" i="7"/>
  <c r="P715" i="7"/>
  <c r="P714" i="7"/>
  <c r="P713" i="7"/>
  <c r="P716" i="7"/>
  <c r="O710" i="7"/>
  <c r="N710" i="7"/>
  <c r="M710" i="7"/>
  <c r="L710" i="7"/>
  <c r="K710" i="7"/>
  <c r="J710" i="7"/>
  <c r="I710" i="7"/>
  <c r="H710" i="7"/>
  <c r="G710" i="7"/>
  <c r="F710" i="7"/>
  <c r="E710" i="7"/>
  <c r="D710" i="7"/>
  <c r="P709" i="7"/>
  <c r="P708" i="7"/>
  <c r="P707" i="7"/>
  <c r="P710" i="7"/>
  <c r="O704" i="7"/>
  <c r="N704" i="7"/>
  <c r="M704" i="7"/>
  <c r="L704" i="7"/>
  <c r="K704" i="7"/>
  <c r="J704" i="7"/>
  <c r="I704" i="7"/>
  <c r="H704" i="7"/>
  <c r="G704" i="7"/>
  <c r="F704" i="7"/>
  <c r="E704" i="7"/>
  <c r="D704" i="7"/>
  <c r="P703" i="7"/>
  <c r="P702" i="7"/>
  <c r="P701" i="7"/>
  <c r="P704" i="7"/>
  <c r="O698" i="7"/>
  <c r="H698" i="7"/>
  <c r="G698" i="7"/>
  <c r="O697" i="7"/>
  <c r="N697" i="7"/>
  <c r="N698" i="7"/>
  <c r="M697" i="7"/>
  <c r="M698" i="7"/>
  <c r="L697" i="7"/>
  <c r="L698" i="7"/>
  <c r="K697" i="7"/>
  <c r="K698" i="7"/>
  <c r="J697" i="7"/>
  <c r="J698" i="7"/>
  <c r="I697" i="7"/>
  <c r="I698" i="7"/>
  <c r="H697" i="7"/>
  <c r="G697" i="7"/>
  <c r="F697" i="7"/>
  <c r="F698" i="7"/>
  <c r="E697" i="7"/>
  <c r="D697" i="7"/>
  <c r="P696" i="7"/>
  <c r="P695" i="7"/>
  <c r="O692" i="7"/>
  <c r="N692" i="7"/>
  <c r="M692" i="7"/>
  <c r="L692" i="7"/>
  <c r="K692" i="7"/>
  <c r="J692" i="7"/>
  <c r="I692" i="7"/>
  <c r="H692" i="7"/>
  <c r="G692" i="7"/>
  <c r="F692" i="7"/>
  <c r="E692" i="7"/>
  <c r="D692" i="7"/>
  <c r="P691" i="7"/>
  <c r="P690" i="7"/>
  <c r="P692" i="7"/>
  <c r="P689" i="7"/>
  <c r="M674" i="7"/>
  <c r="L674" i="7"/>
  <c r="E674" i="7"/>
  <c r="D674" i="7"/>
  <c r="O673" i="7"/>
  <c r="O674" i="7"/>
  <c r="N673" i="7"/>
  <c r="N674" i="7"/>
  <c r="M673" i="7"/>
  <c r="L673" i="7"/>
  <c r="K673" i="7"/>
  <c r="K674" i="7"/>
  <c r="J673" i="7"/>
  <c r="J674" i="7"/>
  <c r="I673" i="7"/>
  <c r="I674" i="7"/>
  <c r="H673" i="7"/>
  <c r="H674" i="7"/>
  <c r="G673" i="7"/>
  <c r="G674" i="7"/>
  <c r="F673" i="7"/>
  <c r="F674" i="7"/>
  <c r="E673" i="7"/>
  <c r="D673" i="7"/>
  <c r="P672" i="7"/>
  <c r="P674" i="7"/>
  <c r="P671" i="7"/>
  <c r="O668" i="7"/>
  <c r="N668" i="7"/>
  <c r="M668" i="7"/>
  <c r="L668" i="7"/>
  <c r="K668" i="7"/>
  <c r="J668" i="7"/>
  <c r="I668" i="7"/>
  <c r="H668" i="7"/>
  <c r="G668" i="7"/>
  <c r="F668" i="7"/>
  <c r="E668" i="7"/>
  <c r="D667" i="7"/>
  <c r="P667" i="7"/>
  <c r="P666" i="7"/>
  <c r="P665" i="7"/>
  <c r="O662" i="7"/>
  <c r="G662" i="7"/>
  <c r="O661" i="7"/>
  <c r="N661" i="7"/>
  <c r="N662" i="7"/>
  <c r="M661" i="7"/>
  <c r="M662" i="7"/>
  <c r="L661" i="7"/>
  <c r="L662" i="7"/>
  <c r="K661" i="7"/>
  <c r="K662" i="7"/>
  <c r="J661" i="7"/>
  <c r="J662" i="7"/>
  <c r="I661" i="7"/>
  <c r="I662" i="7"/>
  <c r="H661" i="7"/>
  <c r="H662" i="7"/>
  <c r="G661" i="7"/>
  <c r="F661" i="7"/>
  <c r="F662" i="7"/>
  <c r="E661" i="7"/>
  <c r="D661" i="7"/>
  <c r="P660" i="7"/>
  <c r="P659" i="7"/>
  <c r="M656" i="7"/>
  <c r="F656" i="7"/>
  <c r="E656" i="7"/>
  <c r="O655" i="7"/>
  <c r="O656" i="7"/>
  <c r="N655" i="7"/>
  <c r="N656" i="7"/>
  <c r="M655" i="7"/>
  <c r="L655" i="7"/>
  <c r="L656" i="7"/>
  <c r="K655" i="7"/>
  <c r="K656" i="7"/>
  <c r="J655" i="7"/>
  <c r="J656" i="7"/>
  <c r="I655" i="7"/>
  <c r="I656" i="7"/>
  <c r="H655" i="7"/>
  <c r="H656" i="7"/>
  <c r="G655" i="7"/>
  <c r="G656" i="7"/>
  <c r="F655" i="7"/>
  <c r="E655" i="7"/>
  <c r="D655" i="7"/>
  <c r="D656" i="7"/>
  <c r="P654" i="7"/>
  <c r="P653" i="7"/>
  <c r="H650" i="7"/>
  <c r="O649" i="7"/>
  <c r="O650" i="7"/>
  <c r="N649" i="7"/>
  <c r="N650" i="7"/>
  <c r="M649" i="7"/>
  <c r="M650" i="7"/>
  <c r="L649" i="7"/>
  <c r="L650" i="7"/>
  <c r="K649" i="7"/>
  <c r="K650" i="7"/>
  <c r="J649" i="7"/>
  <c r="J650" i="7"/>
  <c r="I649" i="7"/>
  <c r="I650" i="7"/>
  <c r="H649" i="7"/>
  <c r="G649" i="7"/>
  <c r="G650" i="7"/>
  <c r="F649" i="7"/>
  <c r="F650" i="7"/>
  <c r="E649" i="7"/>
  <c r="E650" i="7"/>
  <c r="D649" i="7"/>
  <c r="P649" i="7"/>
  <c r="P648" i="7"/>
  <c r="P647" i="7"/>
  <c r="N644" i="7"/>
  <c r="F644" i="7"/>
  <c r="O643" i="7"/>
  <c r="O644" i="7"/>
  <c r="N643" i="7"/>
  <c r="M643" i="7"/>
  <c r="M644" i="7"/>
  <c r="L643" i="7"/>
  <c r="L644" i="7"/>
  <c r="K643" i="7"/>
  <c r="K644" i="7"/>
  <c r="J643" i="7"/>
  <c r="J644" i="7"/>
  <c r="I643" i="7"/>
  <c r="I644" i="7"/>
  <c r="H643" i="7"/>
  <c r="H644" i="7"/>
  <c r="G643" i="7"/>
  <c r="G644" i="7"/>
  <c r="F643" i="7"/>
  <c r="E643" i="7"/>
  <c r="E644" i="7"/>
  <c r="D643" i="7"/>
  <c r="P642" i="7"/>
  <c r="P641" i="7"/>
  <c r="J638" i="7"/>
  <c r="I638" i="7"/>
  <c r="O637" i="7"/>
  <c r="O638" i="7"/>
  <c r="N637" i="7"/>
  <c r="N638" i="7"/>
  <c r="M637" i="7"/>
  <c r="M638" i="7"/>
  <c r="L637" i="7"/>
  <c r="L638" i="7"/>
  <c r="K637" i="7"/>
  <c r="K638" i="7"/>
  <c r="J637" i="7"/>
  <c r="I637" i="7"/>
  <c r="H637" i="7"/>
  <c r="H638" i="7"/>
  <c r="G637" i="7"/>
  <c r="G638" i="7"/>
  <c r="F637" i="7"/>
  <c r="F638" i="7"/>
  <c r="E637" i="7"/>
  <c r="E638" i="7"/>
  <c r="D637" i="7"/>
  <c r="P637" i="7"/>
  <c r="P636" i="7"/>
  <c r="P635" i="7"/>
  <c r="K632" i="7"/>
  <c r="D632" i="7"/>
  <c r="O631" i="7"/>
  <c r="O632" i="7"/>
  <c r="N631" i="7"/>
  <c r="N632" i="7"/>
  <c r="M631" i="7"/>
  <c r="M632" i="7"/>
  <c r="L631" i="7"/>
  <c r="L632" i="7"/>
  <c r="K631" i="7"/>
  <c r="J631" i="7"/>
  <c r="J632" i="7"/>
  <c r="I631" i="7"/>
  <c r="I632" i="7"/>
  <c r="H631" i="7"/>
  <c r="H632" i="7"/>
  <c r="G631" i="7"/>
  <c r="G632" i="7"/>
  <c r="F631" i="7"/>
  <c r="F632" i="7"/>
  <c r="E631" i="7"/>
  <c r="E632" i="7"/>
  <c r="D631" i="7"/>
  <c r="P630" i="7"/>
  <c r="P629" i="7"/>
  <c r="J626" i="7"/>
  <c r="O625" i="7"/>
  <c r="O626" i="7"/>
  <c r="N625" i="7"/>
  <c r="N626" i="7"/>
  <c r="M625" i="7"/>
  <c r="M626" i="7"/>
  <c r="L625" i="7"/>
  <c r="L626" i="7"/>
  <c r="K625" i="7"/>
  <c r="K626" i="7"/>
  <c r="J625" i="7"/>
  <c r="I625" i="7"/>
  <c r="I626" i="7"/>
  <c r="H625" i="7"/>
  <c r="H626" i="7"/>
  <c r="G625" i="7"/>
  <c r="G626" i="7"/>
  <c r="F625" i="7"/>
  <c r="F626" i="7"/>
  <c r="E625" i="7"/>
  <c r="E626" i="7"/>
  <c r="D625" i="7"/>
  <c r="P624" i="7"/>
  <c r="P623" i="7"/>
  <c r="L620" i="7"/>
  <c r="D620" i="7"/>
  <c r="O619" i="7"/>
  <c r="O620" i="7"/>
  <c r="N619" i="7"/>
  <c r="N620" i="7"/>
  <c r="M619" i="7"/>
  <c r="M620" i="7"/>
  <c r="L619" i="7"/>
  <c r="K619" i="7"/>
  <c r="K620" i="7"/>
  <c r="J619" i="7"/>
  <c r="J620" i="7"/>
  <c r="I619" i="7"/>
  <c r="H619" i="7"/>
  <c r="H620" i="7"/>
  <c r="G619" i="7"/>
  <c r="G620" i="7"/>
  <c r="F619" i="7"/>
  <c r="F620" i="7"/>
  <c r="E619" i="7"/>
  <c r="P619" i="7"/>
  <c r="P620" i="7"/>
  <c r="D619" i="7"/>
  <c r="P618" i="7"/>
  <c r="P617" i="7"/>
  <c r="O614" i="7"/>
  <c r="G614" i="7"/>
  <c r="O613" i="7"/>
  <c r="N613" i="7"/>
  <c r="N614" i="7"/>
  <c r="M613" i="7"/>
  <c r="M614" i="7"/>
  <c r="L613" i="7"/>
  <c r="L614" i="7"/>
  <c r="K613" i="7"/>
  <c r="K614" i="7"/>
  <c r="J613" i="7"/>
  <c r="J614" i="7"/>
  <c r="I613" i="7"/>
  <c r="I614" i="7"/>
  <c r="H613" i="7"/>
  <c r="H614" i="7"/>
  <c r="G613" i="7"/>
  <c r="F613" i="7"/>
  <c r="F614" i="7"/>
  <c r="E613" i="7"/>
  <c r="D613" i="7"/>
  <c r="P612" i="7"/>
  <c r="P611" i="7"/>
  <c r="M608" i="7"/>
  <c r="F608" i="7"/>
  <c r="E608" i="7"/>
  <c r="O607" i="7"/>
  <c r="O608" i="7"/>
  <c r="N607" i="7"/>
  <c r="N608" i="7"/>
  <c r="M607" i="7"/>
  <c r="L607" i="7"/>
  <c r="L608" i="7"/>
  <c r="K607" i="7"/>
  <c r="K608" i="7"/>
  <c r="J607" i="7"/>
  <c r="J608" i="7"/>
  <c r="I607" i="7"/>
  <c r="I608" i="7"/>
  <c r="H607" i="7"/>
  <c r="G607" i="7"/>
  <c r="G608" i="7"/>
  <c r="F607" i="7"/>
  <c r="E607" i="7"/>
  <c r="D607" i="7"/>
  <c r="D608" i="7"/>
  <c r="P606" i="7"/>
  <c r="P605" i="7"/>
  <c r="H602" i="7"/>
  <c r="O601" i="7"/>
  <c r="O602" i="7"/>
  <c r="N601" i="7"/>
  <c r="N602" i="7"/>
  <c r="M601" i="7"/>
  <c r="M602" i="7"/>
  <c r="L601" i="7"/>
  <c r="L602" i="7"/>
  <c r="K601" i="7"/>
  <c r="K602" i="7"/>
  <c r="J601" i="7"/>
  <c r="J602" i="7"/>
  <c r="I601" i="7"/>
  <c r="I602" i="7"/>
  <c r="H601" i="7"/>
  <c r="G601" i="7"/>
  <c r="G602" i="7"/>
  <c r="F601" i="7"/>
  <c r="F602" i="7"/>
  <c r="E601" i="7"/>
  <c r="E602" i="7"/>
  <c r="D601" i="7"/>
  <c r="P601" i="7"/>
  <c r="P600" i="7"/>
  <c r="P599" i="7"/>
  <c r="N596" i="7"/>
  <c r="F596" i="7"/>
  <c r="O595" i="7"/>
  <c r="O596" i="7"/>
  <c r="N595" i="7"/>
  <c r="M595" i="7"/>
  <c r="M596" i="7"/>
  <c r="L595" i="7"/>
  <c r="L596" i="7"/>
  <c r="K595" i="7"/>
  <c r="K596" i="7"/>
  <c r="J595" i="7"/>
  <c r="J596" i="7"/>
  <c r="I595" i="7"/>
  <c r="I596" i="7"/>
  <c r="H595" i="7"/>
  <c r="G595" i="7"/>
  <c r="G596" i="7"/>
  <c r="F595" i="7"/>
  <c r="E595" i="7"/>
  <c r="E596" i="7"/>
  <c r="D595" i="7"/>
  <c r="P594" i="7"/>
  <c r="P593" i="7"/>
  <c r="I590" i="7"/>
  <c r="O589" i="7"/>
  <c r="O590" i="7"/>
  <c r="N589" i="7"/>
  <c r="N590" i="7"/>
  <c r="M589" i="7"/>
  <c r="M590" i="7"/>
  <c r="L589" i="7"/>
  <c r="L590" i="7"/>
  <c r="K589" i="7"/>
  <c r="K590" i="7"/>
  <c r="J589" i="7"/>
  <c r="J590" i="7"/>
  <c r="I589" i="7"/>
  <c r="H589" i="7"/>
  <c r="H590" i="7"/>
  <c r="G589" i="7"/>
  <c r="G590" i="7"/>
  <c r="F589" i="7"/>
  <c r="F590" i="7"/>
  <c r="E589" i="7"/>
  <c r="E590" i="7"/>
  <c r="D589" i="7"/>
  <c r="P588" i="7"/>
  <c r="P587" i="7"/>
  <c r="K584" i="7"/>
  <c r="D584" i="7"/>
  <c r="O583" i="7"/>
  <c r="O584" i="7"/>
  <c r="N583" i="7"/>
  <c r="N584" i="7"/>
  <c r="M583" i="7"/>
  <c r="M584" i="7"/>
  <c r="L583" i="7"/>
  <c r="L584" i="7"/>
  <c r="K583" i="7"/>
  <c r="J583" i="7"/>
  <c r="J584" i="7"/>
  <c r="I583" i="7"/>
  <c r="I584" i="7"/>
  <c r="H583" i="7"/>
  <c r="H584" i="7"/>
  <c r="G583" i="7"/>
  <c r="G584" i="7"/>
  <c r="F583" i="7"/>
  <c r="F584" i="7"/>
  <c r="E583" i="7"/>
  <c r="E584" i="7"/>
  <c r="D583" i="7"/>
  <c r="P582" i="7"/>
  <c r="P581" i="7"/>
  <c r="O578" i="7"/>
  <c r="J578" i="7"/>
  <c r="O577" i="7"/>
  <c r="N577" i="7"/>
  <c r="N578" i="7"/>
  <c r="M577" i="7"/>
  <c r="M578" i="7"/>
  <c r="L577" i="7"/>
  <c r="L578" i="7"/>
  <c r="K577" i="7"/>
  <c r="K578" i="7"/>
  <c r="J577" i="7"/>
  <c r="I577" i="7"/>
  <c r="I578" i="7"/>
  <c r="H577" i="7"/>
  <c r="H578" i="7"/>
  <c r="G577" i="7"/>
  <c r="G578" i="7"/>
  <c r="F577" i="7"/>
  <c r="F578" i="7"/>
  <c r="E577" i="7"/>
  <c r="E578" i="7"/>
  <c r="D577" i="7"/>
  <c r="P576" i="7"/>
  <c r="P575" i="7"/>
  <c r="L554" i="7"/>
  <c r="D554" i="7"/>
  <c r="O553" i="7"/>
  <c r="O554" i="7"/>
  <c r="N553" i="7"/>
  <c r="N554" i="7"/>
  <c r="M553" i="7"/>
  <c r="M554" i="7"/>
  <c r="L553" i="7"/>
  <c r="K553" i="7"/>
  <c r="K554" i="7"/>
  <c r="J553" i="7"/>
  <c r="J554" i="7"/>
  <c r="I553" i="7"/>
  <c r="H553" i="7"/>
  <c r="H554" i="7"/>
  <c r="G553" i="7"/>
  <c r="G554" i="7"/>
  <c r="F553" i="7"/>
  <c r="F554" i="7"/>
  <c r="E553" i="7"/>
  <c r="D553" i="7"/>
  <c r="P552" i="7"/>
  <c r="P551" i="7"/>
  <c r="O536" i="7"/>
  <c r="H536" i="7"/>
  <c r="G536" i="7"/>
  <c r="O535" i="7"/>
  <c r="N535" i="7"/>
  <c r="N536" i="7"/>
  <c r="M535" i="7"/>
  <c r="M536" i="7"/>
  <c r="L535" i="7"/>
  <c r="L536" i="7"/>
  <c r="K535" i="7"/>
  <c r="K536" i="7"/>
  <c r="J535" i="7"/>
  <c r="J536" i="7"/>
  <c r="I535" i="7"/>
  <c r="I536" i="7"/>
  <c r="H535" i="7"/>
  <c r="G535" i="7"/>
  <c r="F535" i="7"/>
  <c r="F536" i="7"/>
  <c r="E535" i="7"/>
  <c r="E536" i="7"/>
  <c r="D535" i="7"/>
  <c r="P535" i="7"/>
  <c r="P536" i="7"/>
  <c r="P534" i="7"/>
  <c r="P533" i="7"/>
  <c r="N530" i="7"/>
  <c r="M530" i="7"/>
  <c r="E530" i="7"/>
  <c r="O529" i="7"/>
  <c r="O530" i="7"/>
  <c r="N529" i="7"/>
  <c r="M529" i="7"/>
  <c r="L529" i="7"/>
  <c r="L530" i="7"/>
  <c r="K529" i="7"/>
  <c r="K530" i="7"/>
  <c r="J529" i="7"/>
  <c r="J530" i="7"/>
  <c r="I529" i="7"/>
  <c r="I530" i="7"/>
  <c r="H529" i="7"/>
  <c r="H530" i="7"/>
  <c r="G529" i="7"/>
  <c r="G530" i="7"/>
  <c r="F529" i="7"/>
  <c r="F530" i="7"/>
  <c r="E529" i="7"/>
  <c r="D529" i="7"/>
  <c r="D530" i="7"/>
  <c r="P528" i="7"/>
  <c r="P527" i="7"/>
  <c r="H524" i="7"/>
  <c r="O523" i="7"/>
  <c r="O524" i="7"/>
  <c r="N523" i="7"/>
  <c r="N524" i="7"/>
  <c r="M523" i="7"/>
  <c r="M524" i="7"/>
  <c r="L523" i="7"/>
  <c r="L524" i="7"/>
  <c r="K523" i="7"/>
  <c r="K524" i="7"/>
  <c r="J523" i="7"/>
  <c r="J524" i="7"/>
  <c r="I523" i="7"/>
  <c r="I524" i="7"/>
  <c r="H523" i="7"/>
  <c r="G523" i="7"/>
  <c r="G524" i="7"/>
  <c r="F523" i="7"/>
  <c r="F524" i="7"/>
  <c r="E523" i="7"/>
  <c r="E524" i="7"/>
  <c r="D523" i="7"/>
  <c r="P522" i="7"/>
  <c r="P521" i="7"/>
  <c r="N518" i="7"/>
  <c r="F518" i="7"/>
  <c r="O517" i="7"/>
  <c r="O518" i="7"/>
  <c r="N517" i="7"/>
  <c r="M517" i="7"/>
  <c r="M518" i="7"/>
  <c r="L517" i="7"/>
  <c r="L518" i="7"/>
  <c r="K517" i="7"/>
  <c r="K518" i="7"/>
  <c r="J517" i="7"/>
  <c r="J518" i="7"/>
  <c r="I517" i="7"/>
  <c r="I518" i="7"/>
  <c r="H517" i="7"/>
  <c r="G517" i="7"/>
  <c r="G518" i="7"/>
  <c r="F517" i="7"/>
  <c r="E517" i="7"/>
  <c r="E518" i="7"/>
  <c r="D517" i="7"/>
  <c r="P516" i="7"/>
  <c r="P515" i="7"/>
  <c r="J500" i="7"/>
  <c r="I500" i="7"/>
  <c r="O499" i="7"/>
  <c r="O500" i="7"/>
  <c r="N499" i="7"/>
  <c r="N500" i="7"/>
  <c r="M499" i="7"/>
  <c r="M500" i="7"/>
  <c r="L499" i="7"/>
  <c r="L500" i="7"/>
  <c r="K499" i="7"/>
  <c r="K500" i="7"/>
  <c r="J499" i="7"/>
  <c r="I499" i="7"/>
  <c r="H499" i="7"/>
  <c r="H500" i="7"/>
  <c r="G499" i="7"/>
  <c r="G500" i="7"/>
  <c r="F499" i="7"/>
  <c r="F500" i="7"/>
  <c r="E499" i="7"/>
  <c r="E500" i="7"/>
  <c r="D499" i="7"/>
  <c r="P498" i="7"/>
  <c r="P497" i="7"/>
  <c r="L494" i="7"/>
  <c r="K494" i="7"/>
  <c r="O493" i="7"/>
  <c r="O494" i="7"/>
  <c r="N493" i="7"/>
  <c r="N494" i="7"/>
  <c r="M493" i="7"/>
  <c r="M494" i="7"/>
  <c r="L493" i="7"/>
  <c r="K493" i="7"/>
  <c r="J493" i="7"/>
  <c r="J494" i="7"/>
  <c r="I493" i="7"/>
  <c r="I494" i="7"/>
  <c r="H493" i="7"/>
  <c r="H494" i="7"/>
  <c r="G493" i="7"/>
  <c r="G494" i="7"/>
  <c r="F493" i="7"/>
  <c r="F494" i="7"/>
  <c r="E493" i="7"/>
  <c r="E494" i="7"/>
  <c r="D493" i="7"/>
  <c r="D494" i="7"/>
  <c r="P492" i="7"/>
  <c r="P491" i="7"/>
  <c r="O464" i="7"/>
  <c r="J464" i="7"/>
  <c r="G464" i="7"/>
  <c r="O463" i="7"/>
  <c r="N463" i="7"/>
  <c r="N464" i="7"/>
  <c r="M463" i="7"/>
  <c r="M464" i="7"/>
  <c r="L463" i="7"/>
  <c r="L464" i="7"/>
  <c r="K463" i="7"/>
  <c r="K464" i="7"/>
  <c r="J463" i="7"/>
  <c r="I463" i="7"/>
  <c r="I464" i="7"/>
  <c r="H463" i="7"/>
  <c r="H464" i="7"/>
  <c r="G463" i="7"/>
  <c r="F463" i="7"/>
  <c r="F464" i="7"/>
  <c r="E463" i="7"/>
  <c r="P463" i="7"/>
  <c r="D463" i="7"/>
  <c r="P464" i="7"/>
  <c r="P462" i="7"/>
  <c r="P461" i="7"/>
  <c r="M446" i="7"/>
  <c r="L446" i="7"/>
  <c r="D446" i="7"/>
  <c r="O445" i="7"/>
  <c r="O446" i="7"/>
  <c r="N445" i="7"/>
  <c r="N446" i="7"/>
  <c r="M445" i="7"/>
  <c r="L445" i="7"/>
  <c r="K445" i="7"/>
  <c r="K446" i="7"/>
  <c r="J445" i="7"/>
  <c r="J446" i="7"/>
  <c r="I445" i="7"/>
  <c r="H445" i="7"/>
  <c r="H446" i="7"/>
  <c r="G445" i="7"/>
  <c r="G446" i="7"/>
  <c r="F445" i="7"/>
  <c r="F446" i="7"/>
  <c r="E445" i="7"/>
  <c r="D445" i="7"/>
  <c r="P444" i="7"/>
  <c r="P443" i="7"/>
  <c r="O440" i="7"/>
  <c r="N440" i="7"/>
  <c r="M440" i="7"/>
  <c r="L440" i="7"/>
  <c r="K440" i="7"/>
  <c r="J440" i="7"/>
  <c r="I440" i="7"/>
  <c r="H440" i="7"/>
  <c r="G440" i="7"/>
  <c r="G439" i="7"/>
  <c r="F439" i="7"/>
  <c r="F440" i="7"/>
  <c r="E439" i="7"/>
  <c r="E440" i="7"/>
  <c r="D439" i="7"/>
  <c r="P439" i="7"/>
  <c r="P440" i="7"/>
  <c r="P438" i="7"/>
  <c r="P437" i="7"/>
  <c r="N434" i="7"/>
  <c r="M434" i="7"/>
  <c r="E434" i="7"/>
  <c r="O433" i="7"/>
  <c r="O434" i="7"/>
  <c r="N433" i="7"/>
  <c r="M433" i="7"/>
  <c r="L433" i="7"/>
  <c r="L434" i="7"/>
  <c r="K433" i="7"/>
  <c r="K434" i="7"/>
  <c r="J433" i="7"/>
  <c r="J434" i="7"/>
  <c r="I433" i="7"/>
  <c r="H433" i="7"/>
  <c r="H434" i="7"/>
  <c r="G433" i="7"/>
  <c r="G434" i="7"/>
  <c r="F433" i="7"/>
  <c r="F434" i="7"/>
  <c r="E433" i="7"/>
  <c r="D433" i="7"/>
  <c r="D434" i="7"/>
  <c r="P432" i="7"/>
  <c r="P431" i="7"/>
  <c r="O428" i="7"/>
  <c r="N428" i="7"/>
  <c r="M428" i="7"/>
  <c r="L428" i="7"/>
  <c r="K428" i="7"/>
  <c r="J428" i="7"/>
  <c r="I428" i="7"/>
  <c r="H428" i="7"/>
  <c r="G427" i="7"/>
  <c r="G428" i="7"/>
  <c r="F427" i="7"/>
  <c r="F428" i="7"/>
  <c r="E427" i="7"/>
  <c r="E428" i="7"/>
  <c r="D427" i="7"/>
  <c r="P427" i="7"/>
  <c r="P426" i="7"/>
  <c r="P425" i="7"/>
  <c r="O422" i="7"/>
  <c r="N422" i="7"/>
  <c r="M422" i="7"/>
  <c r="L422" i="7"/>
  <c r="K422" i="7"/>
  <c r="J422" i="7"/>
  <c r="I422" i="7"/>
  <c r="H422" i="7"/>
  <c r="F422" i="7"/>
  <c r="G421" i="7"/>
  <c r="G422" i="7"/>
  <c r="F421" i="7"/>
  <c r="E421" i="7"/>
  <c r="E422" i="7"/>
  <c r="D421" i="7"/>
  <c r="D422" i="7"/>
  <c r="P420" i="7"/>
  <c r="P419" i="7"/>
  <c r="O416" i="7"/>
  <c r="H416" i="7"/>
  <c r="G416" i="7"/>
  <c r="O415" i="7"/>
  <c r="N415" i="7"/>
  <c r="N416" i="7"/>
  <c r="M415" i="7"/>
  <c r="M416" i="7"/>
  <c r="L415" i="7"/>
  <c r="L416" i="7"/>
  <c r="K415" i="7"/>
  <c r="K416" i="7"/>
  <c r="J415" i="7"/>
  <c r="J416" i="7"/>
  <c r="I415" i="7"/>
  <c r="I416" i="7"/>
  <c r="H415" i="7"/>
  <c r="G415" i="7"/>
  <c r="F415" i="7"/>
  <c r="F416" i="7"/>
  <c r="E415" i="7"/>
  <c r="E416" i="7"/>
  <c r="D415" i="7"/>
  <c r="P415" i="7"/>
  <c r="P416" i="7"/>
  <c r="P414" i="7"/>
  <c r="P413" i="7"/>
  <c r="O404" i="7"/>
  <c r="N404" i="7"/>
  <c r="M404" i="7"/>
  <c r="L404" i="7"/>
  <c r="K404" i="7"/>
  <c r="J404" i="7"/>
  <c r="I404" i="7"/>
  <c r="H404" i="7"/>
  <c r="G404" i="7"/>
  <c r="E404" i="7"/>
  <c r="F403" i="7"/>
  <c r="F404" i="7"/>
  <c r="E403" i="7"/>
  <c r="D403" i="7"/>
  <c r="D404" i="7"/>
  <c r="P402" i="7"/>
  <c r="P401" i="7"/>
  <c r="N398" i="7"/>
  <c r="F398" i="7"/>
  <c r="O397" i="7"/>
  <c r="O398" i="7"/>
  <c r="N397" i="7"/>
  <c r="M397" i="7"/>
  <c r="M398" i="7"/>
  <c r="L397" i="7"/>
  <c r="L398" i="7"/>
  <c r="K397" i="7"/>
  <c r="K398" i="7"/>
  <c r="J397" i="7"/>
  <c r="J398" i="7"/>
  <c r="I397" i="7"/>
  <c r="I398" i="7"/>
  <c r="H397" i="7"/>
  <c r="H398" i="7"/>
  <c r="G397" i="7"/>
  <c r="G398" i="7"/>
  <c r="F397" i="7"/>
  <c r="E397" i="7"/>
  <c r="E398" i="7"/>
  <c r="D397" i="7"/>
  <c r="P396" i="7"/>
  <c r="P395" i="7"/>
  <c r="K392" i="7"/>
  <c r="J392" i="7"/>
  <c r="O391" i="7"/>
  <c r="O392" i="7"/>
  <c r="N391" i="7"/>
  <c r="N392" i="7"/>
  <c r="M391" i="7"/>
  <c r="M392" i="7"/>
  <c r="L391" i="7"/>
  <c r="L392" i="7"/>
  <c r="K391" i="7"/>
  <c r="J391" i="7"/>
  <c r="I391" i="7"/>
  <c r="I392" i="7"/>
  <c r="H391" i="7"/>
  <c r="G391" i="7"/>
  <c r="G392" i="7"/>
  <c r="F391" i="7"/>
  <c r="F392" i="7"/>
  <c r="E391" i="7"/>
  <c r="E392" i="7"/>
  <c r="D391" i="7"/>
  <c r="P390" i="7"/>
  <c r="P389" i="7"/>
  <c r="O386" i="7"/>
  <c r="I386" i="7"/>
  <c r="H386" i="7"/>
  <c r="O385" i="7"/>
  <c r="N385" i="7"/>
  <c r="N386" i="7"/>
  <c r="M385" i="7"/>
  <c r="M386" i="7"/>
  <c r="L385" i="7"/>
  <c r="L386" i="7"/>
  <c r="K385" i="7"/>
  <c r="K386" i="7"/>
  <c r="J385" i="7"/>
  <c r="J386" i="7"/>
  <c r="I385" i="7"/>
  <c r="H385" i="7"/>
  <c r="G385" i="7"/>
  <c r="G386" i="7"/>
  <c r="F385" i="7"/>
  <c r="F386" i="7"/>
  <c r="E385" i="7"/>
  <c r="E386" i="7"/>
  <c r="D385" i="7"/>
  <c r="P384" i="7"/>
  <c r="P383" i="7"/>
  <c r="M380" i="7"/>
  <c r="J380" i="7"/>
  <c r="E380" i="7"/>
  <c r="O379" i="7"/>
  <c r="O380" i="7"/>
  <c r="N379" i="7"/>
  <c r="N380" i="7"/>
  <c r="M379" i="7"/>
  <c r="L379" i="7"/>
  <c r="L380" i="7"/>
  <c r="K379" i="7"/>
  <c r="K380" i="7"/>
  <c r="J379" i="7"/>
  <c r="I379" i="7"/>
  <c r="I380" i="7"/>
  <c r="H379" i="7"/>
  <c r="H380" i="7"/>
  <c r="G379" i="7"/>
  <c r="G380" i="7"/>
  <c r="F379" i="7"/>
  <c r="F380" i="7"/>
  <c r="E379" i="7"/>
  <c r="D379" i="7"/>
  <c r="D380" i="7"/>
  <c r="P378" i="7"/>
  <c r="P377" i="7"/>
  <c r="O344" i="7"/>
  <c r="N344" i="7"/>
  <c r="M344" i="7"/>
  <c r="L344" i="7"/>
  <c r="K344" i="7"/>
  <c r="J344" i="7"/>
  <c r="I344" i="7"/>
  <c r="H344" i="7"/>
  <c r="G344" i="7"/>
  <c r="F344" i="7"/>
  <c r="E344" i="7"/>
  <c r="D344" i="7"/>
  <c r="P343" i="7"/>
  <c r="P342" i="7"/>
  <c r="P341" i="7"/>
  <c r="P344" i="7"/>
  <c r="N314" i="7"/>
  <c r="I314" i="7"/>
  <c r="F314" i="7"/>
  <c r="O313" i="7"/>
  <c r="O314" i="7"/>
  <c r="N313" i="7"/>
  <c r="M313" i="7"/>
  <c r="M314" i="7"/>
  <c r="L313" i="7"/>
  <c r="L314" i="7"/>
  <c r="K313" i="7"/>
  <c r="K314" i="7"/>
  <c r="J313" i="7"/>
  <c r="J314" i="7"/>
  <c r="I313" i="7"/>
  <c r="H313" i="7"/>
  <c r="H314" i="7"/>
  <c r="G313" i="7"/>
  <c r="G314" i="7"/>
  <c r="F313" i="7"/>
  <c r="E313" i="7"/>
  <c r="E314" i="7"/>
  <c r="D313" i="7"/>
  <c r="P312" i="7"/>
  <c r="P311" i="7"/>
  <c r="J278" i="7"/>
  <c r="E278" i="7"/>
  <c r="O277" i="7"/>
  <c r="O278" i="7"/>
  <c r="N277" i="7"/>
  <c r="N278" i="7"/>
  <c r="M277" i="7"/>
  <c r="M278" i="7"/>
  <c r="L277" i="7"/>
  <c r="L278" i="7"/>
  <c r="K277" i="7"/>
  <c r="K278" i="7"/>
  <c r="J277" i="7"/>
  <c r="I277" i="7"/>
  <c r="I278" i="7"/>
  <c r="H277" i="7"/>
  <c r="H278" i="7"/>
  <c r="G277" i="7"/>
  <c r="G278" i="7"/>
  <c r="F277" i="7"/>
  <c r="F278" i="7"/>
  <c r="E277" i="7"/>
  <c r="D277" i="7"/>
  <c r="D278" i="7"/>
  <c r="P276" i="7"/>
  <c r="P275" i="7"/>
  <c r="N242" i="7"/>
  <c r="F242" i="7"/>
  <c r="O241" i="7"/>
  <c r="O242" i="7"/>
  <c r="N241" i="7"/>
  <c r="M241" i="7"/>
  <c r="M242" i="7"/>
  <c r="L241" i="7"/>
  <c r="L242" i="7"/>
  <c r="L1034" i="7"/>
  <c r="K241" i="7"/>
  <c r="K242" i="7"/>
  <c r="J241" i="7"/>
  <c r="J242" i="7"/>
  <c r="I241" i="7"/>
  <c r="I242" i="7"/>
  <c r="H241" i="7"/>
  <c r="H242" i="7"/>
  <c r="G241" i="7"/>
  <c r="G242" i="7"/>
  <c r="F241" i="7"/>
  <c r="E241" i="7"/>
  <c r="E242" i="7"/>
  <c r="D241" i="7"/>
  <c r="P240" i="7"/>
  <c r="P239" i="7"/>
  <c r="L236" i="7"/>
  <c r="K236" i="7"/>
  <c r="D236" i="7"/>
  <c r="O235" i="7"/>
  <c r="O236" i="7"/>
  <c r="N235" i="7"/>
  <c r="N236" i="7"/>
  <c r="M235" i="7"/>
  <c r="M236" i="7"/>
  <c r="L235" i="7"/>
  <c r="K235" i="7"/>
  <c r="J235" i="7"/>
  <c r="J236" i="7"/>
  <c r="I235" i="7"/>
  <c r="H235" i="7"/>
  <c r="H236" i="7"/>
  <c r="G235" i="7"/>
  <c r="G236" i="7"/>
  <c r="F235" i="7"/>
  <c r="F236" i="7"/>
  <c r="E235" i="7"/>
  <c r="E236" i="7"/>
  <c r="D235" i="7"/>
  <c r="P235" i="7"/>
  <c r="P234" i="7"/>
  <c r="P233" i="7"/>
  <c r="P236" i="7"/>
  <c r="I224" i="7"/>
  <c r="H224" i="7"/>
  <c r="O223" i="7"/>
  <c r="O224" i="7"/>
  <c r="N223" i="7"/>
  <c r="N224" i="7"/>
  <c r="M223" i="7"/>
  <c r="M224" i="7"/>
  <c r="L223" i="7"/>
  <c r="L224" i="7"/>
  <c r="K223" i="7"/>
  <c r="K224" i="7"/>
  <c r="J223" i="7"/>
  <c r="J224" i="7"/>
  <c r="I223" i="7"/>
  <c r="H223" i="7"/>
  <c r="G223" i="7"/>
  <c r="G224" i="7"/>
  <c r="F223" i="7"/>
  <c r="F224" i="7"/>
  <c r="E223" i="7"/>
  <c r="E224" i="7"/>
  <c r="D223" i="7"/>
  <c r="P222" i="7"/>
  <c r="P221" i="7"/>
  <c r="M212" i="7"/>
  <c r="L212" i="7"/>
  <c r="E212" i="7"/>
  <c r="D212" i="7"/>
  <c r="O211" i="7"/>
  <c r="O212" i="7"/>
  <c r="N211" i="7"/>
  <c r="N212" i="7"/>
  <c r="M211" i="7"/>
  <c r="L211" i="7"/>
  <c r="K211" i="7"/>
  <c r="K212" i="7"/>
  <c r="J211" i="7"/>
  <c r="J212" i="7"/>
  <c r="I211" i="7"/>
  <c r="I212" i="7"/>
  <c r="H211" i="7"/>
  <c r="H212" i="7"/>
  <c r="G211" i="7"/>
  <c r="G212" i="7"/>
  <c r="F211" i="7"/>
  <c r="P211" i="7"/>
  <c r="E211" i="7"/>
  <c r="D211" i="7"/>
  <c r="P210" i="7"/>
  <c r="P209" i="7"/>
  <c r="O128" i="7"/>
  <c r="N128" i="7"/>
  <c r="I128" i="7"/>
  <c r="F128" i="7"/>
  <c r="O127" i="7"/>
  <c r="N127" i="7"/>
  <c r="M127" i="7"/>
  <c r="M128" i="7"/>
  <c r="L127" i="7"/>
  <c r="L128" i="7"/>
  <c r="K127" i="7"/>
  <c r="K128" i="7"/>
  <c r="J127" i="7"/>
  <c r="J128" i="7"/>
  <c r="I127" i="7"/>
  <c r="H127" i="7"/>
  <c r="H128" i="7"/>
  <c r="G127" i="7"/>
  <c r="G128" i="7"/>
  <c r="F127" i="7"/>
  <c r="E127" i="7"/>
  <c r="E128" i="7"/>
  <c r="D127" i="7"/>
  <c r="P127" i="7"/>
  <c r="P126" i="7"/>
  <c r="P125" i="7"/>
  <c r="L86" i="7"/>
  <c r="K86" i="7"/>
  <c r="D86" i="7"/>
  <c r="O85" i="7"/>
  <c r="N85" i="7"/>
  <c r="N86" i="7"/>
  <c r="N1034" i="7"/>
  <c r="M85" i="7"/>
  <c r="L85" i="7"/>
  <c r="K85" i="7"/>
  <c r="J85" i="7"/>
  <c r="J86" i="7"/>
  <c r="I85" i="7"/>
  <c r="I86" i="7"/>
  <c r="H85" i="7"/>
  <c r="H86" i="7"/>
  <c r="G85" i="7"/>
  <c r="G86" i="7"/>
  <c r="F85" i="7"/>
  <c r="F86" i="7"/>
  <c r="E85" i="7"/>
  <c r="E86" i="7"/>
  <c r="D85" i="7"/>
  <c r="P84" i="7"/>
  <c r="P83" i="7"/>
  <c r="O80" i="7"/>
  <c r="G80" i="7"/>
  <c r="G1034" i="7"/>
  <c r="F80" i="7"/>
  <c r="O79" i="7"/>
  <c r="N79" i="7"/>
  <c r="N80" i="7"/>
  <c r="N1033" i="7"/>
  <c r="M79" i="7"/>
  <c r="L79" i="7"/>
  <c r="K79" i="7"/>
  <c r="J79" i="7"/>
  <c r="J80" i="7"/>
  <c r="J1034" i="7"/>
  <c r="I79" i="7"/>
  <c r="I80" i="7"/>
  <c r="H79" i="7"/>
  <c r="G79" i="7"/>
  <c r="F79" i="7"/>
  <c r="E79" i="7"/>
  <c r="E1033" i="7"/>
  <c r="D79" i="7"/>
  <c r="P78" i="7"/>
  <c r="P77" i="7"/>
  <c r="A82" i="7"/>
  <c r="A124" i="7"/>
  <c r="A208" i="7"/>
  <c r="A220" i="7"/>
  <c r="A232" i="7"/>
  <c r="A238" i="7"/>
  <c r="A274" i="7"/>
  <c r="A310" i="7"/>
  <c r="A340" i="7"/>
  <c r="A376" i="7"/>
  <c r="A382" i="7"/>
  <c r="A388" i="7"/>
  <c r="A394" i="7"/>
  <c r="A412" i="7"/>
  <c r="A430" i="7"/>
  <c r="A436" i="7"/>
  <c r="A442" i="7"/>
  <c r="A460" i="7"/>
  <c r="A490" i="7"/>
  <c r="A496" i="7"/>
  <c r="A514" i="7"/>
  <c r="A520" i="7"/>
  <c r="A526" i="7"/>
  <c r="A532" i="7"/>
  <c r="A550" i="7"/>
  <c r="A574" i="7"/>
  <c r="A580" i="7"/>
  <c r="A586" i="7"/>
  <c r="A592" i="7"/>
  <c r="A598" i="7"/>
  <c r="A604" i="7"/>
  <c r="A610" i="7"/>
  <c r="A616" i="7"/>
  <c r="A622" i="7"/>
  <c r="A628" i="7"/>
  <c r="A634" i="7"/>
  <c r="A640" i="7"/>
  <c r="A646" i="7"/>
  <c r="A652" i="7"/>
  <c r="A658" i="7"/>
  <c r="A670" i="7"/>
  <c r="A688" i="7"/>
  <c r="A694" i="7"/>
  <c r="A700" i="7"/>
  <c r="C13" i="7"/>
  <c r="C19" i="7"/>
  <c r="C25" i="7"/>
  <c r="C31" i="7"/>
  <c r="C37" i="7"/>
  <c r="C43" i="7"/>
  <c r="C49" i="7"/>
  <c r="C55" i="7"/>
  <c r="C61" i="7"/>
  <c r="C67" i="7"/>
  <c r="C73" i="7"/>
  <c r="C79" i="7"/>
  <c r="C85" i="7"/>
  <c r="C91" i="7"/>
  <c r="C12" i="7"/>
  <c r="C18" i="7"/>
  <c r="C24" i="7"/>
  <c r="C30" i="7"/>
  <c r="C36" i="7"/>
  <c r="C42" i="7"/>
  <c r="C48" i="7"/>
  <c r="C54" i="7"/>
  <c r="C60" i="7"/>
  <c r="C66" i="7"/>
  <c r="C72" i="7"/>
  <c r="C78" i="7"/>
  <c r="C84" i="7"/>
  <c r="C90" i="7"/>
  <c r="C11" i="7"/>
  <c r="C17" i="7"/>
  <c r="C23" i="7"/>
  <c r="C29" i="7"/>
  <c r="C35" i="7"/>
  <c r="C41" i="7"/>
  <c r="C47" i="7"/>
  <c r="C53" i="7"/>
  <c r="C59" i="7"/>
  <c r="C65" i="7"/>
  <c r="C71" i="7"/>
  <c r="C77" i="7"/>
  <c r="C83" i="7"/>
  <c r="C89" i="7"/>
  <c r="C107" i="7"/>
  <c r="C125" i="7"/>
  <c r="C143" i="7"/>
  <c r="C161" i="7"/>
  <c r="C179" i="7"/>
  <c r="C197" i="7"/>
  <c r="C215" i="7"/>
  <c r="P800" i="7"/>
  <c r="P668" i="7"/>
  <c r="P85" i="7"/>
  <c r="P86" i="7"/>
  <c r="P673" i="7"/>
  <c r="P745" i="7"/>
  <c r="P746" i="7"/>
  <c r="P769" i="7"/>
  <c r="P770" i="7"/>
  <c r="P811" i="7"/>
  <c r="P812" i="7"/>
  <c r="P841" i="7"/>
  <c r="P842" i="7"/>
  <c r="P655" i="7"/>
  <c r="P656" i="7"/>
  <c r="P877" i="7"/>
  <c r="P878" i="7"/>
  <c r="E80" i="7"/>
  <c r="D80" i="7"/>
  <c r="L80" i="7"/>
  <c r="D128" i="7"/>
  <c r="D224" i="7"/>
  <c r="D242" i="7"/>
  <c r="D314" i="7"/>
  <c r="D386" i="7"/>
  <c r="H392" i="7"/>
  <c r="D398" i="7"/>
  <c r="I434" i="7"/>
  <c r="I446" i="7"/>
  <c r="I554" i="7"/>
  <c r="I620" i="7"/>
  <c r="D668" i="7"/>
  <c r="D698" i="7"/>
  <c r="H728" i="7"/>
  <c r="D734" i="7"/>
  <c r="D752" i="7"/>
  <c r="H758" i="7"/>
  <c r="D764" i="7"/>
  <c r="D782" i="7"/>
  <c r="H788" i="7"/>
  <c r="D794" i="7"/>
  <c r="H800" i="7"/>
  <c r="D806" i="7"/>
  <c r="D818" i="7"/>
  <c r="D836" i="7"/>
  <c r="I848" i="7"/>
  <c r="P829" i="7"/>
  <c r="P830" i="7"/>
  <c r="P529" i="7"/>
  <c r="P530" i="7"/>
  <c r="P871" i="7"/>
  <c r="P872" i="7"/>
  <c r="M80" i="7"/>
  <c r="I236" i="7"/>
  <c r="K80" i="7"/>
  <c r="K1034" i="7"/>
  <c r="D416" i="7"/>
  <c r="D428" i="7"/>
  <c r="D440" i="7"/>
  <c r="D464" i="7"/>
  <c r="D500" i="7"/>
  <c r="H518" i="7"/>
  <c r="D524" i="7"/>
  <c r="D536" i="7"/>
  <c r="D578" i="7"/>
  <c r="D590" i="7"/>
  <c r="H596" i="7"/>
  <c r="D602" i="7"/>
  <c r="H608" i="7"/>
  <c r="D614" i="7"/>
  <c r="D626" i="7"/>
  <c r="D638" i="7"/>
  <c r="D650" i="7"/>
  <c r="D662" i="7"/>
  <c r="D866" i="7"/>
  <c r="D884" i="7"/>
  <c r="P937" i="7"/>
  <c r="P938" i="7"/>
  <c r="H896" i="7"/>
  <c r="D920" i="7"/>
  <c r="C97" i="7"/>
  <c r="C109" i="7"/>
  <c r="C127" i="7"/>
  <c r="C145" i="7"/>
  <c r="C163" i="7"/>
  <c r="C181" i="7"/>
  <c r="C199" i="7"/>
  <c r="C217" i="7"/>
  <c r="P278" i="7"/>
  <c r="A712" i="7"/>
  <c r="A718" i="7"/>
  <c r="A724" i="7"/>
  <c r="A730" i="7"/>
  <c r="A742" i="7"/>
  <c r="A748" i="7"/>
  <c r="A754" i="7"/>
  <c r="A760" i="7"/>
  <c r="A766" i="7"/>
  <c r="A772" i="7"/>
  <c r="A778" i="7"/>
  <c r="A784" i="7"/>
  <c r="A790" i="7"/>
  <c r="A796" i="7"/>
  <c r="A802" i="7"/>
  <c r="A808" i="7"/>
  <c r="A814" i="7"/>
  <c r="A820" i="7"/>
  <c r="A826" i="7"/>
  <c r="A832" i="7"/>
  <c r="A838" i="7"/>
  <c r="A844" i="7"/>
  <c r="A850" i="7"/>
  <c r="A856" i="7"/>
  <c r="A862" i="7"/>
  <c r="A868" i="7"/>
  <c r="A874" i="7"/>
  <c r="A880" i="7"/>
  <c r="A886" i="7"/>
  <c r="A892" i="7"/>
  <c r="A904" i="7"/>
  <c r="A910" i="7"/>
  <c r="A916" i="7"/>
  <c r="A922" i="7"/>
  <c r="A928" i="7"/>
  <c r="A934" i="7"/>
  <c r="A940" i="7"/>
  <c r="A946" i="7"/>
  <c r="A952" i="7"/>
  <c r="A958" i="7"/>
  <c r="A964" i="7"/>
  <c r="A970" i="7"/>
  <c r="A976" i="7"/>
  <c r="A982" i="7"/>
  <c r="A988" i="7"/>
  <c r="A994" i="7"/>
  <c r="A1000" i="7"/>
  <c r="A1006" i="7"/>
  <c r="A1012" i="7"/>
  <c r="A1018" i="7"/>
  <c r="A1024" i="7"/>
  <c r="C96" i="7"/>
  <c r="C108" i="7"/>
  <c r="C126" i="7"/>
  <c r="C144" i="7"/>
  <c r="C162" i="7"/>
  <c r="C180" i="7"/>
  <c r="C198" i="7"/>
  <c r="C216" i="7"/>
  <c r="C95" i="7"/>
  <c r="A706" i="7"/>
  <c r="D908" i="7"/>
  <c r="P223" i="7"/>
  <c r="P224" i="7"/>
  <c r="H1033" i="7"/>
  <c r="H80" i="7"/>
  <c r="P386" i="7"/>
  <c r="E614" i="7"/>
  <c r="P613" i="7"/>
  <c r="P614" i="7"/>
  <c r="P1032" i="7"/>
  <c r="P379" i="7"/>
  <c r="P380" i="7"/>
  <c r="K1033" i="7"/>
  <c r="P433" i="7"/>
  <c r="P434" i="7"/>
  <c r="P733" i="7"/>
  <c r="P734" i="7"/>
  <c r="I884" i="7"/>
  <c r="I1034" i="7"/>
  <c r="P883" i="7"/>
  <c r="P884" i="7"/>
  <c r="H920" i="7"/>
  <c r="P919" i="7"/>
  <c r="P920" i="7"/>
  <c r="P913" i="7"/>
  <c r="P914" i="7"/>
  <c r="D1033" i="7"/>
  <c r="P943" i="7"/>
  <c r="P944" i="7"/>
  <c r="P277" i="7"/>
  <c r="O86" i="7"/>
  <c r="O1034" i="7"/>
  <c r="O1033" i="7"/>
  <c r="P128" i="7"/>
  <c r="P313" i="7"/>
  <c r="P314" i="7"/>
  <c r="P385" i="7"/>
  <c r="P392" i="7"/>
  <c r="P428" i="7"/>
  <c r="P523" i="7"/>
  <c r="P524" i="7"/>
  <c r="P625" i="7"/>
  <c r="P626" i="7"/>
  <c r="E698" i="7"/>
  <c r="P697" i="7"/>
  <c r="P698" i="7"/>
  <c r="H818" i="7"/>
  <c r="P817" i="7"/>
  <c r="D392" i="7"/>
  <c r="D1034" i="7"/>
  <c r="P391" i="7"/>
  <c r="E620" i="7"/>
  <c r="E662" i="7"/>
  <c r="P661" i="7"/>
  <c r="P662" i="7"/>
  <c r="L1033" i="7"/>
  <c r="J1033" i="7"/>
  <c r="P955" i="7"/>
  <c r="P956" i="7"/>
  <c r="P991" i="7"/>
  <c r="P992" i="7"/>
  <c r="P583" i="7"/>
  <c r="P584" i="7"/>
  <c r="P493" i="7"/>
  <c r="P494" i="7"/>
  <c r="G1033" i="7"/>
  <c r="M86" i="7"/>
  <c r="M1034" i="7"/>
  <c r="M1033" i="7"/>
  <c r="P212" i="7"/>
  <c r="F212" i="7"/>
  <c r="F1034" i="7"/>
  <c r="D596" i="7"/>
  <c r="P595" i="7"/>
  <c r="P596" i="7"/>
  <c r="P602" i="7"/>
  <c r="D644" i="7"/>
  <c r="P643" i="7"/>
  <c r="P644" i="7"/>
  <c r="P650" i="7"/>
  <c r="F1033" i="7"/>
  <c r="I1033" i="7"/>
  <c r="P397" i="7"/>
  <c r="P398" i="7"/>
  <c r="P421" i="7"/>
  <c r="P422" i="7"/>
  <c r="E464" i="7"/>
  <c r="D518" i="7"/>
  <c r="P517" i="7"/>
  <c r="P518" i="7"/>
  <c r="P553" i="7"/>
  <c r="P554" i="7"/>
  <c r="E554" i="7"/>
  <c r="P577" i="7"/>
  <c r="P578" i="7"/>
  <c r="P589" i="7"/>
  <c r="P590" i="7"/>
  <c r="P631" i="7"/>
  <c r="P632" i="7"/>
  <c r="P752" i="7"/>
  <c r="H764" i="7"/>
  <c r="P763" i="7"/>
  <c r="E806" i="7"/>
  <c r="P805" i="7"/>
  <c r="P806" i="7"/>
  <c r="P818" i="7"/>
  <c r="P835" i="7"/>
  <c r="P79" i="7"/>
  <c r="P80" i="7"/>
  <c r="P241" i="7"/>
  <c r="P242" i="7"/>
  <c r="P445" i="7"/>
  <c r="P446" i="7"/>
  <c r="E446" i="7"/>
  <c r="P499" i="7"/>
  <c r="P500" i="7"/>
  <c r="P638" i="7"/>
  <c r="P727" i="7"/>
  <c r="P728" i="7"/>
  <c r="P403" i="7"/>
  <c r="P404" i="7"/>
  <c r="P764" i="7"/>
  <c r="P824" i="7"/>
  <c r="P847" i="7"/>
  <c r="P848" i="7"/>
  <c r="E866" i="7"/>
  <c r="P865" i="7"/>
  <c r="P866" i="7"/>
  <c r="P607" i="7"/>
  <c r="P608" i="7"/>
  <c r="P781" i="7"/>
  <c r="P782" i="7"/>
  <c r="P794" i="7"/>
  <c r="P836" i="7"/>
  <c r="P908" i="7"/>
  <c r="P926" i="7"/>
  <c r="P932" i="7"/>
  <c r="P1010" i="7"/>
  <c r="P1015" i="7"/>
  <c r="P1016" i="7"/>
  <c r="P757" i="7"/>
  <c r="P758" i="7"/>
  <c r="P889" i="7"/>
  <c r="P890" i="7"/>
  <c r="P787" i="7"/>
  <c r="P788" i="7"/>
  <c r="P1033" i="7"/>
  <c r="C113" i="7"/>
  <c r="C131" i="7"/>
  <c r="C149" i="7"/>
  <c r="C167" i="7"/>
  <c r="C185" i="7"/>
  <c r="C203" i="7"/>
  <c r="C221" i="7"/>
  <c r="C233" i="7"/>
  <c r="C101" i="7"/>
  <c r="C119" i="7"/>
  <c r="C137" i="7"/>
  <c r="C155" i="7"/>
  <c r="C173" i="7"/>
  <c r="C191" i="7"/>
  <c r="C209" i="7"/>
  <c r="C227" i="7"/>
  <c r="C239" i="7"/>
  <c r="C245" i="7"/>
  <c r="C251" i="7"/>
  <c r="C257" i="7"/>
  <c r="C263" i="7"/>
  <c r="C269" i="7"/>
  <c r="C275" i="7"/>
  <c r="C281" i="7"/>
  <c r="C287" i="7"/>
  <c r="C293" i="7"/>
  <c r="C299" i="7"/>
  <c r="C305" i="7"/>
  <c r="C311" i="7"/>
  <c r="C317" i="7"/>
  <c r="C323" i="7"/>
  <c r="C329" i="7"/>
  <c r="C335" i="7"/>
  <c r="C341" i="7"/>
  <c r="C347" i="7"/>
  <c r="C353" i="7"/>
  <c r="C359" i="7"/>
  <c r="C365" i="7"/>
  <c r="C371" i="7"/>
  <c r="C377" i="7"/>
  <c r="C383" i="7"/>
  <c r="C389" i="7"/>
  <c r="C395" i="7"/>
  <c r="C401" i="7"/>
  <c r="C407" i="7"/>
  <c r="C413" i="7"/>
  <c r="C419" i="7"/>
  <c r="C425" i="7"/>
  <c r="C431" i="7"/>
  <c r="C437" i="7"/>
  <c r="C443" i="7"/>
  <c r="C449" i="7"/>
  <c r="C455" i="7"/>
  <c r="C461" i="7"/>
  <c r="C467" i="7"/>
  <c r="C473" i="7"/>
  <c r="C479" i="7"/>
  <c r="C485" i="7"/>
  <c r="C491" i="7"/>
  <c r="C497" i="7"/>
  <c r="C503" i="7"/>
  <c r="C509" i="7"/>
  <c r="C515" i="7"/>
  <c r="C521" i="7"/>
  <c r="C527" i="7"/>
  <c r="C533" i="7"/>
  <c r="C539" i="7"/>
  <c r="C545" i="7"/>
  <c r="C551" i="7"/>
  <c r="C557" i="7"/>
  <c r="C563" i="7"/>
  <c r="C569" i="7"/>
  <c r="C575" i="7"/>
  <c r="C581" i="7"/>
  <c r="C587" i="7"/>
  <c r="C593" i="7"/>
  <c r="C599" i="7"/>
  <c r="C605" i="7"/>
  <c r="H1034" i="7"/>
  <c r="C103" i="7"/>
  <c r="C121" i="7"/>
  <c r="C139" i="7"/>
  <c r="C157" i="7"/>
  <c r="C175" i="7"/>
  <c r="C193" i="7"/>
  <c r="C211" i="7"/>
  <c r="C229" i="7"/>
  <c r="C241" i="7"/>
  <c r="C247" i="7"/>
  <c r="C253" i="7"/>
  <c r="C259" i="7"/>
  <c r="C265" i="7"/>
  <c r="C271" i="7"/>
  <c r="C277" i="7"/>
  <c r="C283" i="7"/>
  <c r="C289" i="7"/>
  <c r="C295" i="7"/>
  <c r="C301" i="7"/>
  <c r="C307" i="7"/>
  <c r="C313" i="7"/>
  <c r="C319" i="7"/>
  <c r="C325" i="7"/>
  <c r="C331" i="7"/>
  <c r="C337" i="7"/>
  <c r="C343" i="7"/>
  <c r="C349" i="7"/>
  <c r="C355" i="7"/>
  <c r="C361" i="7"/>
  <c r="C367" i="7"/>
  <c r="C373" i="7"/>
  <c r="C379" i="7"/>
  <c r="C385" i="7"/>
  <c r="C391" i="7"/>
  <c r="C397" i="7"/>
  <c r="C403" i="7"/>
  <c r="C409" i="7"/>
  <c r="C415" i="7"/>
  <c r="C421" i="7"/>
  <c r="C427" i="7"/>
  <c r="C433" i="7"/>
  <c r="C439" i="7"/>
  <c r="C445" i="7"/>
  <c r="C451" i="7"/>
  <c r="C457" i="7"/>
  <c r="C463" i="7"/>
  <c r="C469" i="7"/>
  <c r="C475" i="7"/>
  <c r="C481" i="7"/>
  <c r="C487" i="7"/>
  <c r="C493" i="7"/>
  <c r="C499" i="7"/>
  <c r="C505" i="7"/>
  <c r="C511" i="7"/>
  <c r="C517" i="7"/>
  <c r="C523" i="7"/>
  <c r="C529" i="7"/>
  <c r="C535" i="7"/>
  <c r="C541" i="7"/>
  <c r="C547" i="7"/>
  <c r="C553" i="7"/>
  <c r="C559" i="7"/>
  <c r="C565" i="7"/>
  <c r="C571" i="7"/>
  <c r="C577" i="7"/>
  <c r="C583" i="7"/>
  <c r="C589" i="7"/>
  <c r="C595" i="7"/>
  <c r="C601" i="7"/>
  <c r="C607" i="7"/>
  <c r="C115" i="7"/>
  <c r="C133" i="7"/>
  <c r="C151" i="7"/>
  <c r="C169" i="7"/>
  <c r="C187" i="7"/>
  <c r="C205" i="7"/>
  <c r="C223" i="7"/>
  <c r="C235" i="7"/>
  <c r="C102" i="7"/>
  <c r="C120" i="7"/>
  <c r="C138" i="7"/>
  <c r="C156" i="7"/>
  <c r="C174" i="7"/>
  <c r="C192" i="7"/>
  <c r="C210" i="7"/>
  <c r="C228" i="7"/>
  <c r="C240" i="7"/>
  <c r="C246" i="7"/>
  <c r="C252" i="7"/>
  <c r="C258" i="7"/>
  <c r="C264" i="7"/>
  <c r="C270" i="7"/>
  <c r="C276" i="7"/>
  <c r="C282" i="7"/>
  <c r="C288" i="7"/>
  <c r="C294" i="7"/>
  <c r="C300" i="7"/>
  <c r="C306" i="7"/>
  <c r="C312" i="7"/>
  <c r="C318" i="7"/>
  <c r="C324" i="7"/>
  <c r="C330" i="7"/>
  <c r="C336" i="7"/>
  <c r="C342" i="7"/>
  <c r="C348" i="7"/>
  <c r="C354" i="7"/>
  <c r="C360" i="7"/>
  <c r="C366" i="7"/>
  <c r="C372" i="7"/>
  <c r="C378" i="7"/>
  <c r="C384" i="7"/>
  <c r="C390" i="7"/>
  <c r="C396" i="7"/>
  <c r="C402" i="7"/>
  <c r="C408" i="7"/>
  <c r="C414" i="7"/>
  <c r="C420" i="7"/>
  <c r="C426" i="7"/>
  <c r="C432" i="7"/>
  <c r="C438" i="7"/>
  <c r="C444" i="7"/>
  <c r="C450" i="7"/>
  <c r="C456" i="7"/>
  <c r="C462" i="7"/>
  <c r="C468" i="7"/>
  <c r="C474" i="7"/>
  <c r="C480" i="7"/>
  <c r="C486" i="7"/>
  <c r="C492" i="7"/>
  <c r="C498" i="7"/>
  <c r="C504" i="7"/>
  <c r="C510" i="7"/>
  <c r="C516" i="7"/>
  <c r="C522" i="7"/>
  <c r="C528" i="7"/>
  <c r="C534" i="7"/>
  <c r="C540" i="7"/>
  <c r="C546" i="7"/>
  <c r="C552" i="7"/>
  <c r="C558" i="7"/>
  <c r="C564" i="7"/>
  <c r="C570" i="7"/>
  <c r="C576" i="7"/>
  <c r="C582" i="7"/>
  <c r="C588" i="7"/>
  <c r="C594" i="7"/>
  <c r="C600" i="7"/>
  <c r="C606" i="7"/>
  <c r="C114" i="7"/>
  <c r="C132" i="7"/>
  <c r="C150" i="7"/>
  <c r="C168" i="7"/>
  <c r="C186" i="7"/>
  <c r="C204" i="7"/>
  <c r="C222" i="7"/>
  <c r="C234" i="7"/>
  <c r="E1034" i="7"/>
  <c r="P1034" i="7"/>
</calcChain>
</file>

<file path=xl/sharedStrings.xml><?xml version="1.0" encoding="utf-8"?>
<sst xmlns="http://schemas.openxmlformats.org/spreadsheetml/2006/main" count="653" uniqueCount="305">
  <si>
    <t>CHARTER SCHOOL DEBT RESERVE, INTERCEPT AND TREASURY FEE PAYMENTS</t>
  </si>
  <si>
    <t>CRS 22-30.5-406 AND 22-30.5-407</t>
  </si>
  <si>
    <t>Classical (#1627104004A)</t>
  </si>
  <si>
    <t>Debt Reserve</t>
  </si>
  <si>
    <t>Treasury Fee</t>
  </si>
  <si>
    <t>Intercept</t>
  </si>
  <si>
    <t>Total for Classical</t>
  </si>
  <si>
    <t>Pinnacle (#6950002004A)</t>
  </si>
  <si>
    <t>Total for Pinnacle</t>
  </si>
  <si>
    <t>Pioneer (#0145155004A)</t>
  </si>
  <si>
    <t>Total for Pioneer</t>
  </si>
  <si>
    <t>Total for Leadership Academy</t>
  </si>
  <si>
    <t>Liberty Common (#5120155004A)</t>
  </si>
  <si>
    <t>Total for Liberty Common</t>
  </si>
  <si>
    <t>Cheyenne Mountain (#1582102004A)</t>
  </si>
  <si>
    <t>Total for Cheyenne Mountain</t>
  </si>
  <si>
    <t>Total for Excel Academy</t>
  </si>
  <si>
    <t>Challenge to Excellence (#1512090004A)</t>
  </si>
  <si>
    <t>Total for Challenge to Excellence</t>
  </si>
  <si>
    <t>Montessori Peaks (#5994142004A)</t>
  </si>
  <si>
    <t>Total for Montessori Peaks</t>
  </si>
  <si>
    <t>Peak to Peak (#6816048004A)</t>
  </si>
  <si>
    <t>Total for Peak to Peak</t>
  </si>
  <si>
    <t>Collegiate Academy (#7701142004A)</t>
  </si>
  <si>
    <t>Total for Collegiate Academy</t>
  </si>
  <si>
    <t>Academy of Charter Schools (#0015002004A)</t>
  </si>
  <si>
    <t>Total for Academy of Charter Schools</t>
  </si>
  <si>
    <t>University Lab Charter School (#2850312005A)</t>
  </si>
  <si>
    <t>Total for University Lab Charter School</t>
  </si>
  <si>
    <t>James Irwin Charter High School (#4378098005A)</t>
  </si>
  <si>
    <t>Total for James Irwin Charter High School</t>
  </si>
  <si>
    <t>James Irwin Charter Middle School (#4378098005A)</t>
  </si>
  <si>
    <t>Total for James Irwin Charter Middle School</t>
  </si>
  <si>
    <t>Aurora Academy Charter School (#0458018005A)</t>
  </si>
  <si>
    <t>Total for Aurora Academy Charter School</t>
  </si>
  <si>
    <t>Platte River Academy Charter School (#7047090005A)</t>
  </si>
  <si>
    <t>Total for Platte River Academy Charter School</t>
  </si>
  <si>
    <t>Total for Elbert County Charter School</t>
  </si>
  <si>
    <t>Woodrow Wilson Charter School (#9427142005A)</t>
  </si>
  <si>
    <t>Total for Woodrow Wilson Charter School</t>
  </si>
  <si>
    <t>Total for Bromley East Charter School</t>
  </si>
  <si>
    <t>Summary</t>
  </si>
  <si>
    <t>Bromley East Charter School (#1052004005A)</t>
  </si>
  <si>
    <t>Lincoln Academy Charter School (#5145142005A)</t>
  </si>
  <si>
    <t>Total for Lincoln Academy Charter School</t>
  </si>
  <si>
    <t>Excel Academy Charter School (#2799142005A)</t>
  </si>
  <si>
    <t>Total for Excel Academy Charter School</t>
  </si>
  <si>
    <t>Ridgeview Charter School (#0146155005A)</t>
  </si>
  <si>
    <t>Total for Ridgeview Charter School</t>
  </si>
  <si>
    <t>Knowledge Quest Academy (#4785311006A)</t>
  </si>
  <si>
    <t>Total for Knowledge Quest Academy</t>
  </si>
  <si>
    <t>Stargate Charter School (#1519002006A)</t>
  </si>
  <si>
    <t>Total for Stargate Charter School</t>
  </si>
  <si>
    <t>Total for Northern Colorado Academy of Arts</t>
  </si>
  <si>
    <t>Leadership Academy (#5033099004A)</t>
  </si>
  <si>
    <t>Northern Colorado Academy of Arts (#0657999907A)</t>
  </si>
  <si>
    <t>Colorado State Charter School Institute School</t>
  </si>
  <si>
    <t>Academy Charter School (#0011090007A)</t>
  </si>
  <si>
    <t>Total for Academy Charter School</t>
  </si>
  <si>
    <t>Cheyenne Mountain Charter School (#1582102007A)</t>
  </si>
  <si>
    <t>Total for Cheyenne Mountain Charter School</t>
  </si>
  <si>
    <t>Advance refunded</t>
  </si>
  <si>
    <t>Frontier Academy (#1875312007A)</t>
  </si>
  <si>
    <t>Total for Frontier Academy</t>
  </si>
  <si>
    <t>Banning Lewis Ranch Academy (#0555111007A)</t>
  </si>
  <si>
    <t>Total for Banning Lewis Ranch Academy</t>
  </si>
  <si>
    <t>Stargate School (#1519002007A)</t>
  </si>
  <si>
    <t>Total for Stargate School</t>
  </si>
  <si>
    <t>Total for Brighton Charter School</t>
  </si>
  <si>
    <t>Montessori Peaks (#5994142007A)</t>
  </si>
  <si>
    <t>Carbon Valley Academy (#1284047007A)</t>
  </si>
  <si>
    <t>Total for Carbon Valley Academy</t>
  </si>
  <si>
    <t>Littleton Academy Charter School (#5229014007A)</t>
  </si>
  <si>
    <t>Total for Littleton Academy Charter School</t>
  </si>
  <si>
    <t>Union Colony Charter School (#8965312007A)</t>
  </si>
  <si>
    <t>Total for Union Colony Charter School</t>
  </si>
  <si>
    <t>Cesar Chavez Academy (#1488269007A)</t>
  </si>
  <si>
    <t>Total for Cesar Chavez Academy</t>
  </si>
  <si>
    <t>Belle Creek Charter School (#0700004008A)</t>
  </si>
  <si>
    <t>Total for Belle Creek Charter School</t>
  </si>
  <si>
    <t>James Irwin Charter High School (#4378098008A)</t>
  </si>
  <si>
    <t>James Irwin Charter Middle School (#4379098008A)</t>
  </si>
  <si>
    <t>James Irwin Charter Elementary School (#4380098008A)</t>
  </si>
  <si>
    <t>Total for James Irwin Charter Elementary School</t>
  </si>
  <si>
    <t>SD revoked charter / Charter closed</t>
  </si>
  <si>
    <t>Northeast Academy Charter School (#6394088008A)</t>
  </si>
  <si>
    <t>Total for Northeast Academy Charter School</t>
  </si>
  <si>
    <t>Excel Academy (#2799142004A)</t>
  </si>
  <si>
    <t>Windsor Charter Academy (#9665310008A)</t>
  </si>
  <si>
    <t>Total for Windsor Charter Academy</t>
  </si>
  <si>
    <t>James Madison Charter Academy (#5033099008A)</t>
  </si>
  <si>
    <t>Total for James Madison Charter Academy</t>
  </si>
  <si>
    <t>Challenge to Excellence Charter School (#1512090008A)</t>
  </si>
  <si>
    <t>Total for Challenge to Excellence Charter School</t>
  </si>
  <si>
    <t>Total for 21st Century Charter School at Colorado Springs</t>
  </si>
  <si>
    <t>Monument Academy (#5093108008A)</t>
  </si>
  <si>
    <t>Total for Monument Academy</t>
  </si>
  <si>
    <t>Challenges, Choices and Images (#1606088008A)</t>
  </si>
  <si>
    <t>Total for Challenges, Choices and Images</t>
  </si>
  <si>
    <t>Cheyenne Mountain Charter Academy (#1582102008A)</t>
  </si>
  <si>
    <t>Total for Cheyenne Mountain Charter Academy</t>
  </si>
  <si>
    <t>Community Leadership Academy (#1882003008A)</t>
  </si>
  <si>
    <t>Total for Community Leadership Academy</t>
  </si>
  <si>
    <t>***</t>
  </si>
  <si>
    <t>*</t>
  </si>
  <si>
    <t>**</t>
  </si>
  <si>
    <t>New Vision Charter School (#6220156008A)</t>
  </si>
  <si>
    <t>Total for New Vision Charter School</t>
  </si>
  <si>
    <t>Rocky Mountain Academy of Evergreen (#7462142009A)</t>
  </si>
  <si>
    <t>Total for Rocky Mountain Academy of Evergreen</t>
  </si>
  <si>
    <t>Pikes Peak School of Expeditionary Learning (#6935111009A)</t>
  </si>
  <si>
    <t>Total for Pikes Peak of Expeditionary Learning</t>
  </si>
  <si>
    <t>Flagstaff Academy Charter School (#2964047009A)</t>
  </si>
  <si>
    <t>Total for Flagstaff Academy Charter School</t>
  </si>
  <si>
    <t>Academy of Charter Schools (#0015002009A)</t>
  </si>
  <si>
    <t>American Academy (#0215090009A)</t>
  </si>
  <si>
    <t>Total for American Academy</t>
  </si>
  <si>
    <t>North Star Academy (#1579090009A)</t>
  </si>
  <si>
    <t>Total for North Star Academy</t>
  </si>
  <si>
    <t>Twin Peaks Charter Academy (#8927047009A)</t>
  </si>
  <si>
    <t>Total for Twin Peaks Charter Academy</t>
  </si>
  <si>
    <t>The Classical Academy (#1627104009A)</t>
  </si>
  <si>
    <t>Total for The Classical Academy</t>
  </si>
  <si>
    <t>Monument Academy (#5093108009A)</t>
  </si>
  <si>
    <t>Total for Cesar Chavez Academy Denver</t>
  </si>
  <si>
    <t>Cesar Chavez Academy Denver (previously DATA) (#2182088004A)</t>
  </si>
  <si>
    <t>Crown Pointe Academy (#2035007010A)</t>
  </si>
  <si>
    <t>Total for Crown Pointe Academy</t>
  </si>
  <si>
    <t>Pinnacle Charter School (#6914999910A)</t>
  </si>
  <si>
    <t>Total for Pinnacle Charter School</t>
  </si>
  <si>
    <t>High Point Academy (#0655999910A)</t>
  </si>
  <si>
    <t>Total for High Point Academy</t>
  </si>
  <si>
    <t>Colorado Springs Charter Academy (#1791999910A)</t>
  </si>
  <si>
    <t>Total for Colorado Springs Charter Academy</t>
  </si>
  <si>
    <t>Eagle Ridge Academy (previously Brighton Charter School) (#1027004007A)</t>
  </si>
  <si>
    <t>Free Horizon Montessori (#3201142011A)</t>
  </si>
  <si>
    <t>Total for Free Horizon Montessori</t>
  </si>
  <si>
    <t>Parker Core Knowledge (#1873090004A)</t>
  </si>
  <si>
    <t>Total for Parker Core Knowledge</t>
  </si>
  <si>
    <t>Parker Core Knowledge (#1873090011A)</t>
  </si>
  <si>
    <t>Academy of Charter Schools (The Academy) (#0015002011A)</t>
  </si>
  <si>
    <t>Total for The Academy</t>
  </si>
  <si>
    <t>Caprock Academy (#1279999911A)</t>
  </si>
  <si>
    <t>Total for Caprock Academy</t>
  </si>
  <si>
    <t>Highline Academy Charter School (#3987088011A)</t>
  </si>
  <si>
    <t>Total for Highline Academy Charter School</t>
  </si>
  <si>
    <t>Global Village Academy (#3471018011A)</t>
  </si>
  <si>
    <t>Total for Global Village Academy</t>
  </si>
  <si>
    <t>Rocky Mountain Academy of Evergreen (#7462142011A)</t>
  </si>
  <si>
    <t>Twin Peaks Charter Academy (#8927047011A)</t>
  </si>
  <si>
    <t>Liberty Common Charter School (#5120155012A)</t>
  </si>
  <si>
    <t>Total for Liberty Common Charter School</t>
  </si>
  <si>
    <t>Union Colony Charter School (#8965312012A)</t>
  </si>
  <si>
    <t>Cherry Creek Academy Inc. (#1571013012A)</t>
  </si>
  <si>
    <t>Total for Cherry Creek Academy Inc.</t>
  </si>
  <si>
    <t>Jefferson Academy (#4402142012A)</t>
  </si>
  <si>
    <t>Total for Jefferson Academy</t>
  </si>
  <si>
    <t>Legacy Academy (formerly Elbert County Charter School) (#2572092005A)</t>
  </si>
  <si>
    <t>Pikes Peak Prep (formerly 21st Century Charter School) (#8929999908A)</t>
  </si>
  <si>
    <t>Total for STEM School</t>
  </si>
  <si>
    <t>Skyview Academy (#6365090013A)</t>
  </si>
  <si>
    <t>Total for Skyview Academy</t>
  </si>
  <si>
    <t>Westgate Community School (#9431002013A)</t>
  </si>
  <si>
    <t>Total for Westgate Community School</t>
  </si>
  <si>
    <t>DCS Montessori Charter School (#5997090013A)</t>
  </si>
  <si>
    <t>Total for DCS Montessori Charter School</t>
  </si>
  <si>
    <t>Mountain Phoenix Community School (#6139142013A)</t>
  </si>
  <si>
    <t>Total for Mountain Phoenix Community School</t>
  </si>
  <si>
    <t>University Laboratory School (#2850312013A)</t>
  </si>
  <si>
    <t>Total for University Laboratory School</t>
  </si>
  <si>
    <t>American Academy (#0215090013A)</t>
  </si>
  <si>
    <t>Littleton Preparatory Charter School (#5233014013A)</t>
  </si>
  <si>
    <t>Total for Littleton Preparatory Charter School</t>
  </si>
  <si>
    <t>Pinnacle Charter School (#0654800113A)</t>
  </si>
  <si>
    <t>Lincoln Academy (#5145142013A)</t>
  </si>
  <si>
    <t>Total for Lincoln Academy</t>
  </si>
  <si>
    <t>Aurora Academy (#0458018013A)</t>
  </si>
  <si>
    <t>Total for Aurora Academy</t>
  </si>
  <si>
    <t>Cesar Chavez Academy Denver (#1345088014A)</t>
  </si>
  <si>
    <t>Community Leadership Academy (#1882800114A)</t>
  </si>
  <si>
    <r>
      <t xml:space="preserve">STEM School (#5259090013A) </t>
    </r>
    <r>
      <rPr>
        <b/>
        <i/>
        <sz val="12"/>
        <rFont val="Arial"/>
        <family val="2"/>
      </rPr>
      <t>THIS PAYMENT COMBINED W/ SERIES 2013 BELOW</t>
    </r>
  </si>
  <si>
    <t>STEM School (#5259090014A)  [Combined 2012A&amp;B and 2013A&amp;B]</t>
  </si>
  <si>
    <t>Prospect Ridge Academy (#6802002014A)</t>
  </si>
  <si>
    <t>Total for Prospect Ridge Academy</t>
  </si>
  <si>
    <t>Rocky Mountain Classical Academy (#7463111014A)</t>
  </si>
  <si>
    <t>Total for Rocky Mountain Classical Academy</t>
  </si>
  <si>
    <t>Monarch Montessori (#5621088014A)</t>
  </si>
  <si>
    <t>Total for Monarch Montessori</t>
  </si>
  <si>
    <t>Liberty Common School (#5120155014A)</t>
  </si>
  <si>
    <t>Total for Liberty Common School</t>
  </si>
  <si>
    <t>Ridgeview Classical Schools (#0146155015A)</t>
  </si>
  <si>
    <t>Total for Ridgeview Classical Schools</t>
  </si>
  <si>
    <t>Swallows Charter Academy (#8420270015A)</t>
  </si>
  <si>
    <t>Total for Swallows Charter Academy</t>
  </si>
  <si>
    <t>Skyview Academy (#6365090015A)</t>
  </si>
  <si>
    <t>Peak to Peak (#6816048015A)</t>
  </si>
  <si>
    <t>Debt Reserve  (8040 WAAA)</t>
  </si>
  <si>
    <t>Treasury Fee  (17F0 WAAA)</t>
  </si>
  <si>
    <t>Intercept  (9410 WAAA)</t>
  </si>
  <si>
    <r>
      <t>Total for all payments</t>
    </r>
    <r>
      <rPr>
        <sz val="10"/>
        <rFont val="Arial"/>
        <family val="2"/>
      </rPr>
      <t xml:space="preserve">  (1130 DAAA)</t>
    </r>
  </si>
  <si>
    <t>Twin Peaks Charter Academy (#8927047015A)</t>
  </si>
  <si>
    <t>Independence Academy (#2128200015A)</t>
  </si>
  <si>
    <t>Total for Independence Academy</t>
  </si>
  <si>
    <t>Jefferson Academy (#4402142015A)</t>
  </si>
  <si>
    <t>STEM School (#5259090015A)</t>
  </si>
  <si>
    <t>Global Village Academy (#3471018015A)</t>
  </si>
  <si>
    <t>Monument Academy (#35093108015A)</t>
  </si>
  <si>
    <t>Classical Academy (#1627104015A)</t>
  </si>
  <si>
    <t>Total for Classical Academy</t>
  </si>
  <si>
    <t>Classical Academy (#1627104015B)</t>
  </si>
  <si>
    <t>University Laboratory School (#2850312015A)</t>
  </si>
  <si>
    <t>Total for University Labortory School</t>
  </si>
  <si>
    <t>Atlas Prepatory School (#0469098015A)</t>
  </si>
  <si>
    <t>Total for Atlas Prepatory School</t>
  </si>
  <si>
    <t>Stargate Charter School (#1519002015A)</t>
  </si>
  <si>
    <t>Aspen Ridge School (#0071047015A)</t>
  </si>
  <si>
    <t>Total for Aspen Ridge School</t>
  </si>
  <si>
    <t>Union Colony Charter School (#8965312015A)</t>
  </si>
  <si>
    <t>Salida Del Sol Academy (#8467312015A)</t>
  </si>
  <si>
    <t>Total for Salida Del Sol Academy</t>
  </si>
  <si>
    <t>Bromley East Charter School (#1052004016A)</t>
  </si>
  <si>
    <t>James Irwin Charter High School (#4378098016A)</t>
  </si>
  <si>
    <t>James Irwin Charter Middle School (#4378098016A)</t>
  </si>
  <si>
    <t>James Irwin Charter Elementary School (#4378098016A)</t>
  </si>
  <si>
    <t>James Irwin Charter Academy (#4403800116A)</t>
  </si>
  <si>
    <t>Total for James Irwin Charter Academy</t>
  </si>
  <si>
    <t>American Academy (#0215090016A)</t>
  </si>
  <si>
    <t>Pikes Peak School of Expeditionary Learning (#6935111016A)</t>
  </si>
  <si>
    <t>Colorado Early College - Fort Collins (#2067800116A)</t>
  </si>
  <si>
    <t>Total for Colorado Early College - Fort Collins</t>
  </si>
  <si>
    <t>Monarch Montessori (#5621088016A)</t>
  </si>
  <si>
    <t>Two Roads Charter School (#8793142016A)</t>
  </si>
  <si>
    <t>Total for Two Roads Charter School</t>
  </si>
  <si>
    <t>Prospect Ridge Academy (#6802002016A)</t>
  </si>
  <si>
    <t>Ben Franklin Academy (#0135090016A)</t>
  </si>
  <si>
    <t>Total for Ben Franklin Academy</t>
  </si>
  <si>
    <t>Westgate Community School (#9431002016A)</t>
  </si>
  <si>
    <t>Vanguard School (#1582102016A)</t>
  </si>
  <si>
    <t>Total for Vanguard School</t>
  </si>
  <si>
    <t>STEM School (#5259090016A)</t>
  </si>
  <si>
    <t>Academy Charter School (#0011090016A)</t>
  </si>
  <si>
    <t>Colorado Early Colleges-Fort Collins (#2067800116B)</t>
  </si>
  <si>
    <t>Total for Colorado Early Colleges-Fort Collins</t>
  </si>
  <si>
    <t>Flagstaff Academy (#2964047016A)</t>
  </si>
  <si>
    <t>Total for Flagstaff Academy</t>
  </si>
  <si>
    <t>Legacy Academy (#2572092016A)</t>
  </si>
  <si>
    <t>Total for Legacy Academy</t>
  </si>
  <si>
    <t>Parker Core Knowledge (#1873090017A)</t>
  </si>
  <si>
    <t>Global Village Academy (#3471018017A)</t>
  </si>
  <si>
    <t>Frontier Academy (#1875312017A)</t>
  </si>
  <si>
    <t>A</t>
  </si>
  <si>
    <t>B</t>
  </si>
  <si>
    <t>C</t>
  </si>
  <si>
    <t>Excel Academy (#2799142017A)</t>
  </si>
  <si>
    <t>Loveland Classical Schools (#5235156017A)</t>
  </si>
  <si>
    <t>Total for Loveland Classical Schools</t>
  </si>
  <si>
    <t>American Academy (#0215090017A)</t>
  </si>
  <si>
    <t>Total for Power Technical Early College</t>
  </si>
  <si>
    <t>Power Technical Early College (6653111017A)</t>
  </si>
  <si>
    <t>Windsor Charter Academy (9665310017A)</t>
  </si>
  <si>
    <t>Banning Lewis Ranch Academy (0555111017A)</t>
  </si>
  <si>
    <t>Addenbrooke Classical Academy (1451142017A)</t>
  </si>
  <si>
    <t>Total for Addenbrooke Classical Academy</t>
  </si>
  <si>
    <t>Two Rivers Community School (8821800117A)</t>
  </si>
  <si>
    <t>Total for Two Rivers Community School</t>
  </si>
  <si>
    <t>Eagle Ridge Academy (2399004017A)</t>
  </si>
  <si>
    <t>Total for Eagle Ridge Academy</t>
  </si>
  <si>
    <t>West Ridge Academy (9611312017A)</t>
  </si>
  <si>
    <t>Total for West Ridge Academy</t>
  </si>
  <si>
    <t>Platte River Academy (7047090017A)</t>
  </si>
  <si>
    <t>Total for Platte River Academy</t>
  </si>
  <si>
    <t>World Compass Academy (9397090017A)</t>
  </si>
  <si>
    <t>Total for World Compass Academy</t>
  </si>
  <si>
    <t>Prospect Ridge Academy (6802002017A)</t>
  </si>
  <si>
    <t>North Star Academy (#1579090015A) [payment combined with Series 2017]</t>
  </si>
  <si>
    <t>North Star Academy (1579090017A)</t>
  </si>
  <si>
    <t>Renaissance Secondary School (7244090017A)</t>
  </si>
  <si>
    <t>Total for Renaissance Secondary School</t>
  </si>
  <si>
    <t>Windsor Charter Academy (9665310017B)</t>
  </si>
  <si>
    <t>Thomas MacLaren (8825800117A)</t>
  </si>
  <si>
    <t>Total for Thomas MacLaren</t>
  </si>
  <si>
    <t>Challenge to  Excellence (1512090017A)</t>
  </si>
  <si>
    <t>Early College of Arvada (2837800117A)</t>
  </si>
  <si>
    <t>Total for Early College of Arvada</t>
  </si>
  <si>
    <t>World Compass Academy (9397090018A)</t>
  </si>
  <si>
    <t>Carbon Valley Academy (1284047018A)</t>
  </si>
  <si>
    <t>Union Colony School (8965312018A)</t>
  </si>
  <si>
    <t>Total for Union Colony School</t>
  </si>
  <si>
    <t>Lotus School for Excellence (5298018018A)</t>
  </si>
  <si>
    <t>Total for Lotus School for Excellence</t>
  </si>
  <si>
    <t>New Vision Charter School (6220156018A)</t>
  </si>
  <si>
    <t>Global Village Academy (3471018018A)</t>
  </si>
  <si>
    <t>Total FY 19</t>
  </si>
  <si>
    <t>Imagine Indigo Ranch (4251111019A)</t>
  </si>
  <si>
    <t>Total for Imagine Indigo Ranch</t>
  </si>
  <si>
    <t>Stargate Charter School (1519002019A)</t>
  </si>
  <si>
    <t>Liberty Tree Academy (5191111019A)</t>
  </si>
  <si>
    <t>Total for Liberty Tree Academy</t>
  </si>
  <si>
    <t>Highline Academy Charter School (3987088019A)</t>
  </si>
  <si>
    <t>New America School (4699002019A)</t>
  </si>
  <si>
    <t>Total for New America School</t>
  </si>
  <si>
    <t>Caprock Academy (1279800119A)</t>
  </si>
  <si>
    <t>Global Village Academy - Northglenn (3439800119A)</t>
  </si>
  <si>
    <t>Total for Global Village Academy - Northglenn</t>
  </si>
  <si>
    <t>Rocky Mountain Classical Academy (7463111019A)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</si>
</sst>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4"/>
      <name val="Arial"/>
      <family val="2"/>
    </font>
    <font>
      <b/>
      <i/>
      <sz val="12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44" fontId="3" fillId="0" borderId="0" xfId="0" applyNumberFormat="1" applyFont="1" applyFill="1" applyBorder="1" applyAlignment="1">
      <alignment horizontal="center" wrapText="1"/>
    </xf>
    <xf numFmtId="44" fontId="2" fillId="0" borderId="0" xfId="0" applyNumberFormat="1" applyFont="1" applyFill="1" applyBorder="1" applyAlignment="1">
      <alignment wrapText="1"/>
    </xf>
    <xf numFmtId="43" fontId="0" fillId="0" borderId="0" xfId="0" applyNumberFormat="1" applyFill="1" applyBorder="1" applyAlignment="1"/>
    <xf numFmtId="43" fontId="4" fillId="0" borderId="0" xfId="0" applyNumberFormat="1" applyFont="1" applyFill="1" applyBorder="1" applyAlignment="1"/>
    <xf numFmtId="43" fontId="2" fillId="0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43" fontId="4" fillId="2" borderId="0" xfId="0" applyNumberFormat="1" applyFont="1" applyFill="1" applyBorder="1" applyAlignment="1"/>
    <xf numFmtId="0" fontId="6" fillId="3" borderId="0" xfId="0" applyFont="1" applyFill="1" applyAlignment="1">
      <alignment horizontal="right"/>
    </xf>
    <xf numFmtId="43" fontId="4" fillId="3" borderId="0" xfId="0" applyNumberFormat="1" applyFont="1" applyFill="1" applyBorder="1" applyAlignment="1"/>
    <xf numFmtId="43" fontId="4" fillId="3" borderId="0" xfId="0" quotePrefix="1" applyNumberFormat="1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 horizontal="center"/>
    </xf>
    <xf numFmtId="43" fontId="4" fillId="0" borderId="0" xfId="0" quotePrefix="1" applyNumberFormat="1" applyFont="1" applyFill="1" applyBorder="1" applyAlignment="1">
      <alignment horizontal="left"/>
    </xf>
    <xf numFmtId="43" fontId="2" fillId="0" borderId="1" xfId="0" quotePrefix="1" applyNumberFormat="1" applyFont="1" applyFill="1" applyBorder="1" applyAlignment="1">
      <alignment horizontal="center"/>
    </xf>
    <xf numFmtId="43" fontId="2" fillId="0" borderId="0" xfId="0" quotePrefix="1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right" vertical="center"/>
    </xf>
    <xf numFmtId="43" fontId="4" fillId="2" borderId="0" xfId="0" quotePrefix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43" fontId="2" fillId="0" borderId="0" xfId="0" applyNumberFormat="1" applyFont="1" applyFill="1" applyBorder="1" applyAlignment="1"/>
    <xf numFmtId="43" fontId="2" fillId="2" borderId="0" xfId="0" quotePrefix="1" applyNumberFormat="1" applyFont="1" applyFill="1" applyBorder="1" applyAlignment="1">
      <alignment horizontal="left"/>
    </xf>
    <xf numFmtId="43" fontId="2" fillId="3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39" fontId="0" fillId="0" borderId="0" xfId="0" applyNumberFormat="1" applyFill="1" applyBorder="1" applyAlignment="1"/>
    <xf numFmtId="39" fontId="2" fillId="0" borderId="2" xfId="0" applyNumberFormat="1" applyFont="1" applyFill="1" applyBorder="1" applyAlignment="1"/>
    <xf numFmtId="39" fontId="4" fillId="0" borderId="0" xfId="0" applyNumberFormat="1" applyFont="1" applyFill="1" applyBorder="1" applyAlignment="1"/>
    <xf numFmtId="44" fontId="4" fillId="0" borderId="0" xfId="0" quotePrefix="1" applyNumberFormat="1" applyFont="1" applyFill="1" applyBorder="1" applyAlignment="1">
      <alignment horizontal="right" wrapText="1"/>
    </xf>
    <xf numFmtId="43" fontId="4" fillId="5" borderId="0" xfId="0" applyNumberFormat="1" applyFont="1" applyFill="1" applyBorder="1" applyAlignment="1"/>
    <xf numFmtId="0" fontId="6" fillId="4" borderId="0" xfId="0" applyFont="1" applyFill="1" applyAlignment="1">
      <alignment horizontal="right"/>
    </xf>
    <xf numFmtId="43" fontId="4" fillId="4" borderId="0" xfId="0" applyNumberFormat="1" applyFont="1" applyFill="1" applyBorder="1" applyAlignment="1"/>
    <xf numFmtId="0" fontId="6" fillId="4" borderId="0" xfId="0" applyFont="1" applyFill="1" applyAlignment="1">
      <alignment horizontal="right" vertical="center"/>
    </xf>
    <xf numFmtId="0" fontId="2" fillId="4" borderId="0" xfId="0" applyFont="1" applyFill="1" applyBorder="1" applyAlignment="1">
      <alignment horizontal="left"/>
    </xf>
    <xf numFmtId="43" fontId="4" fillId="6" borderId="0" xfId="0" quotePrefix="1" applyNumberFormat="1" applyFont="1" applyFill="1" applyBorder="1" applyAlignment="1">
      <alignment horizontal="left"/>
    </xf>
    <xf numFmtId="43" fontId="4" fillId="7" borderId="0" xfId="0" applyNumberFormat="1" applyFont="1" applyFill="1" applyBorder="1" applyAlignment="1"/>
    <xf numFmtId="0" fontId="0" fillId="8" borderId="0" xfId="0" applyFill="1"/>
    <xf numFmtId="164" fontId="4" fillId="8" borderId="0" xfId="0" applyNumberFormat="1" applyFont="1" applyFill="1" applyBorder="1" applyAlignment="1"/>
    <xf numFmtId="39" fontId="0" fillId="8" borderId="0" xfId="0" applyNumberFormat="1" applyFill="1" applyBorder="1" applyAlignment="1"/>
    <xf numFmtId="39" fontId="2" fillId="8" borderId="2" xfId="0" applyNumberFormat="1" applyFont="1" applyFill="1" applyBorder="1" applyAlignment="1"/>
    <xf numFmtId="39" fontId="4" fillId="8" borderId="0" xfId="0" applyNumberFormat="1" applyFont="1" applyFill="1" applyBorder="1" applyAlignment="1"/>
    <xf numFmtId="0" fontId="6" fillId="5" borderId="0" xfId="0" applyFont="1" applyFill="1" applyAlignment="1">
      <alignment horizontal="right" vertical="center"/>
    </xf>
    <xf numFmtId="0" fontId="0" fillId="0" borderId="0" xfId="0" applyFill="1"/>
    <xf numFmtId="43" fontId="4" fillId="5" borderId="0" xfId="0" quotePrefix="1" applyNumberFormat="1" applyFont="1" applyFill="1" applyBorder="1" applyAlignment="1">
      <alignment horizontal="left"/>
    </xf>
    <xf numFmtId="0" fontId="6" fillId="7" borderId="0" xfId="0" applyFont="1" applyFill="1" applyAlignment="1">
      <alignment horizontal="right" vertical="center"/>
    </xf>
    <xf numFmtId="39" fontId="2" fillId="0" borderId="0" xfId="0" applyNumberFormat="1" applyFont="1" applyFill="1" applyBorder="1" applyAlignment="1"/>
    <xf numFmtId="43" fontId="0" fillId="0" borderId="0" xfId="1" applyFont="1"/>
    <xf numFmtId="0" fontId="2" fillId="0" borderId="0" xfId="0" quotePrefix="1" applyFont="1" applyFill="1" applyAlignment="1">
      <alignment horizontal="center"/>
    </xf>
    <xf numFmtId="43" fontId="0" fillId="0" borderId="0" xfId="1" applyFont="1" applyFill="1" applyBorder="1" applyAlignment="1"/>
    <xf numFmtId="43" fontId="2" fillId="0" borderId="2" xfId="1" applyFont="1" applyFill="1" applyBorder="1" applyAlignment="1"/>
    <xf numFmtId="43" fontId="0" fillId="0" borderId="0" xfId="1" applyFont="1" applyFill="1"/>
    <xf numFmtId="43" fontId="2" fillId="8" borderId="2" xfId="1" applyFont="1" applyFill="1" applyBorder="1" applyAlignment="1"/>
    <xf numFmtId="0" fontId="0" fillId="0" borderId="0" xfId="0" applyAlignment="1">
      <alignment wrapText="1"/>
    </xf>
    <xf numFmtId="39" fontId="2" fillId="8" borderId="0" xfId="0" applyNumberFormat="1" applyFont="1" applyFill="1" applyBorder="1" applyAlignment="1"/>
    <xf numFmtId="43" fontId="8" fillId="8" borderId="0" xfId="1" applyFont="1" applyFill="1"/>
    <xf numFmtId="43" fontId="8" fillId="8" borderId="0" xfId="1" applyFont="1" applyFill="1" applyBorder="1" applyAlignment="1"/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hle_t\AppData\Local\Microsoft\Windows\INetCache\Content.Outlook\PSP02T8K\CHARTER%20SCHOOLS%20DEB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ement numbers"/>
      <sheetName val="agreement numbers-institute"/>
      <sheetName val="school summary"/>
      <sheetName val="contacts"/>
      <sheetName val="bond issuances"/>
      <sheetName val="DebtRes"/>
      <sheetName val="payment summary"/>
      <sheetName val="info for cashiers"/>
      <sheetName val="Moral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6"/>
  <sheetViews>
    <sheetView tabSelected="1" zoomScale="75" zoomScaleNormal="7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5.65" customHeight="1" x14ac:dyDescent="0.2"/>
  <cols>
    <col min="1" max="1" width="5.7109375" style="1" customWidth="1"/>
    <col min="2" max="2" width="4.7109375" style="1" customWidth="1"/>
    <col min="3" max="3" width="89.85546875" customWidth="1"/>
    <col min="4" max="10" width="18.7109375" customWidth="1"/>
    <col min="11" max="11" width="18.7109375" style="37" customWidth="1"/>
    <col min="12" max="19" width="18.7109375" customWidth="1"/>
    <col min="20" max="20" width="23" bestFit="1" customWidth="1"/>
    <col min="21" max="21" width="21.85546875" bestFit="1" customWidth="1"/>
    <col min="22" max="22" width="21.7109375" bestFit="1" customWidth="1"/>
    <col min="23" max="23" width="21.28515625" bestFit="1" customWidth="1"/>
    <col min="24" max="24" width="21.7109375" bestFit="1" customWidth="1"/>
    <col min="25" max="26" width="22" bestFit="1" customWidth="1"/>
    <col min="27" max="28" width="21.85546875" bestFit="1" customWidth="1"/>
    <col min="29" max="29" width="21.7109375" bestFit="1" customWidth="1"/>
    <col min="30" max="31" width="21.5703125" bestFit="1" customWidth="1"/>
    <col min="32" max="32" width="21.28515625" bestFit="1" customWidth="1"/>
    <col min="33" max="33" width="21.5703125" bestFit="1" customWidth="1"/>
    <col min="34" max="34" width="23" bestFit="1" customWidth="1"/>
    <col min="35" max="49" width="16" bestFit="1" customWidth="1"/>
    <col min="50" max="50" width="18.28515625" bestFit="1" customWidth="1"/>
    <col min="51" max="51" width="18.42578125" bestFit="1" customWidth="1"/>
    <col min="52" max="52" width="18.28515625" bestFit="1" customWidth="1"/>
    <col min="53" max="53" width="18.42578125" bestFit="1" customWidth="1"/>
    <col min="54" max="54" width="18.5703125" bestFit="1" customWidth="1"/>
    <col min="55" max="55" width="18.42578125" bestFit="1" customWidth="1"/>
    <col min="56" max="56" width="22.140625" bestFit="1" customWidth="1"/>
    <col min="57" max="57" width="18.28515625" bestFit="1" customWidth="1"/>
    <col min="58" max="58" width="18.42578125" bestFit="1" customWidth="1"/>
    <col min="59" max="59" width="18.5703125" bestFit="1" customWidth="1"/>
    <col min="60" max="60" width="18.42578125" bestFit="1" customWidth="1"/>
    <col min="61" max="61" width="22.140625" bestFit="1" customWidth="1"/>
    <col min="62" max="62" width="18.28515625" bestFit="1" customWidth="1"/>
    <col min="63" max="63" width="18.42578125" bestFit="1" customWidth="1"/>
    <col min="64" max="64" width="18.5703125" bestFit="1" customWidth="1"/>
    <col min="65" max="65" width="18.42578125" bestFit="1" customWidth="1"/>
    <col min="66" max="66" width="18.28515625" bestFit="1" customWidth="1"/>
    <col min="67" max="67" width="18.42578125" bestFit="1" customWidth="1"/>
    <col min="68" max="68" width="18.5703125" bestFit="1" customWidth="1"/>
    <col min="69" max="69" width="18.42578125" bestFit="1" customWidth="1"/>
    <col min="70" max="70" width="22.140625" bestFit="1" customWidth="1"/>
    <col min="71" max="71" width="21.28515625" bestFit="1" customWidth="1"/>
    <col min="72" max="72" width="18.28515625" bestFit="1" customWidth="1"/>
    <col min="73" max="73" width="18.42578125" bestFit="1" customWidth="1"/>
    <col min="74" max="74" width="18.5703125" bestFit="1" customWidth="1"/>
    <col min="75" max="75" width="18.42578125" bestFit="1" customWidth="1"/>
    <col min="76" max="76" width="22.140625" bestFit="1" customWidth="1"/>
    <col min="77" max="78" width="21.28515625" bestFit="1" customWidth="1"/>
    <col min="79" max="80" width="20.5703125" bestFit="1" customWidth="1"/>
    <col min="81" max="83" width="21.28515625" bestFit="1" customWidth="1"/>
    <col min="84" max="89" width="16" bestFit="1" customWidth="1"/>
    <col min="90" max="90" width="17.28515625" bestFit="1" customWidth="1"/>
  </cols>
  <sheetData>
    <row r="1" spans="2:16" ht="37.5" x14ac:dyDescent="0.3">
      <c r="C1" s="2" t="s">
        <v>0</v>
      </c>
    </row>
    <row r="2" spans="2:16" ht="14.1" customHeight="1" x14ac:dyDescent="0.25">
      <c r="C2" s="3" t="s">
        <v>1</v>
      </c>
      <c r="D2" s="25">
        <v>43282</v>
      </c>
      <c r="E2" s="25">
        <v>43313</v>
      </c>
      <c r="F2" s="25">
        <v>43344</v>
      </c>
      <c r="G2" s="25">
        <v>43374</v>
      </c>
      <c r="H2" s="25">
        <v>43405</v>
      </c>
      <c r="I2" s="25">
        <v>43435</v>
      </c>
      <c r="J2" s="25">
        <v>43466</v>
      </c>
      <c r="K2" s="38">
        <v>43497</v>
      </c>
      <c r="L2" s="25">
        <v>43525</v>
      </c>
      <c r="M2" s="25">
        <v>43556</v>
      </c>
      <c r="N2" s="25">
        <v>43586</v>
      </c>
      <c r="O2" s="25">
        <v>43617</v>
      </c>
      <c r="P2" s="29" t="s">
        <v>292</v>
      </c>
    </row>
    <row r="3" spans="2:16" ht="14.1" customHeight="1" x14ac:dyDescent="0.2">
      <c r="C3" s="4"/>
    </row>
    <row r="4" spans="2:16" ht="14.1" customHeight="1" x14ac:dyDescent="0.25">
      <c r="B4" s="9" t="s">
        <v>105</v>
      </c>
      <c r="C4" s="30" t="s">
        <v>2</v>
      </c>
    </row>
    <row r="5" spans="2:16" ht="14.1" customHeight="1" x14ac:dyDescent="0.2">
      <c r="C5" s="4" t="s">
        <v>3</v>
      </c>
    </row>
    <row r="6" spans="2:16" ht="14.1" customHeight="1" x14ac:dyDescent="0.2">
      <c r="C6" s="4" t="s">
        <v>4</v>
      </c>
    </row>
    <row r="7" spans="2:16" ht="14.1" customHeight="1" thickBot="1" x14ac:dyDescent="0.25">
      <c r="C7" s="4" t="s">
        <v>5</v>
      </c>
    </row>
    <row r="8" spans="2:16" ht="14.1" customHeight="1" thickBot="1" x14ac:dyDescent="0.25">
      <c r="C8" s="6" t="s">
        <v>6</v>
      </c>
    </row>
    <row r="9" spans="2:16" ht="14.1" customHeight="1" x14ac:dyDescent="0.2">
      <c r="C9" s="4"/>
    </row>
    <row r="10" spans="2:16" ht="14.1" customHeight="1" x14ac:dyDescent="0.25">
      <c r="B10" s="9" t="s">
        <v>105</v>
      </c>
      <c r="C10" s="10" t="s">
        <v>7</v>
      </c>
    </row>
    <row r="11" spans="2:16" ht="14.1" customHeight="1" x14ac:dyDescent="0.2">
      <c r="C11" s="4" t="str">
        <f>C5</f>
        <v>Debt Reserve</v>
      </c>
    </row>
    <row r="12" spans="2:16" ht="14.1" customHeight="1" x14ac:dyDescent="0.2">
      <c r="C12" s="4" t="str">
        <f>C6</f>
        <v>Treasury Fee</v>
      </c>
    </row>
    <row r="13" spans="2:16" ht="14.1" customHeight="1" thickBot="1" x14ac:dyDescent="0.25">
      <c r="C13" s="4" t="str">
        <f>C7</f>
        <v>Intercept</v>
      </c>
    </row>
    <row r="14" spans="2:16" ht="14.1" customHeight="1" thickBot="1" x14ac:dyDescent="0.25">
      <c r="C14" s="6" t="s">
        <v>8</v>
      </c>
    </row>
    <row r="15" spans="2:16" ht="14.1" customHeight="1" x14ac:dyDescent="0.2">
      <c r="C15" s="4"/>
    </row>
    <row r="16" spans="2:16" ht="14.1" customHeight="1" x14ac:dyDescent="0.25">
      <c r="B16" s="7" t="s">
        <v>104</v>
      </c>
      <c r="C16" s="8" t="s">
        <v>9</v>
      </c>
    </row>
    <row r="17" spans="1:16" ht="14.1" customHeight="1" x14ac:dyDescent="0.2">
      <c r="C17" s="4" t="str">
        <f>C11</f>
        <v>Debt Reserve</v>
      </c>
    </row>
    <row r="18" spans="1:16" ht="14.1" customHeight="1" x14ac:dyDescent="0.2">
      <c r="C18" s="4" t="str">
        <f>C12</f>
        <v>Treasury Fee</v>
      </c>
    </row>
    <row r="19" spans="1:16" ht="14.1" customHeight="1" thickBot="1" x14ac:dyDescent="0.25">
      <c r="C19" s="4" t="str">
        <f>C13</f>
        <v>Intercept</v>
      </c>
    </row>
    <row r="20" spans="1:16" ht="14.1" customHeight="1" thickBot="1" x14ac:dyDescent="0.25">
      <c r="C20" s="6" t="s">
        <v>10</v>
      </c>
    </row>
    <row r="21" spans="1:16" ht="14.1" customHeight="1" x14ac:dyDescent="0.2">
      <c r="C21" s="4"/>
    </row>
    <row r="22" spans="1:16" ht="14.1" customHeight="1" x14ac:dyDescent="0.25">
      <c r="B22" s="7" t="s">
        <v>104</v>
      </c>
      <c r="C22" s="8" t="s">
        <v>54</v>
      </c>
    </row>
    <row r="23" spans="1:16" ht="14.1" customHeight="1" x14ac:dyDescent="0.2">
      <c r="C23" s="4" t="str">
        <f>C17</f>
        <v>Debt Reserve</v>
      </c>
    </row>
    <row r="24" spans="1:16" ht="14.1" customHeight="1" x14ac:dyDescent="0.2">
      <c r="C24" s="4" t="str">
        <f>C18</f>
        <v>Treasury Fee</v>
      </c>
    </row>
    <row r="25" spans="1:16" ht="14.1" customHeight="1" thickBot="1" x14ac:dyDescent="0.25">
      <c r="C25" s="4" t="str">
        <f>C19</f>
        <v>Intercept</v>
      </c>
    </row>
    <row r="26" spans="1:16" ht="14.1" customHeight="1" thickBot="1" x14ac:dyDescent="0.25">
      <c r="C26" s="6" t="s">
        <v>11</v>
      </c>
    </row>
    <row r="27" spans="1:16" ht="14.1" customHeight="1" x14ac:dyDescent="0.2">
      <c r="C27" s="4"/>
    </row>
    <row r="28" spans="1:16" ht="14.1" customHeight="1" x14ac:dyDescent="0.25">
      <c r="A28" s="20"/>
      <c r="B28" s="9" t="s">
        <v>105</v>
      </c>
      <c r="C28" s="30" t="s">
        <v>125</v>
      </c>
      <c r="D28" s="43"/>
      <c r="E28" s="43"/>
      <c r="F28" s="43"/>
      <c r="G28" s="43"/>
      <c r="H28" s="43"/>
      <c r="I28" s="43"/>
      <c r="J28" s="43"/>
      <c r="L28" s="43"/>
      <c r="M28" s="43"/>
      <c r="N28" s="43"/>
      <c r="O28" s="43"/>
      <c r="P28" s="43"/>
    </row>
    <row r="29" spans="1:16" ht="14.1" customHeight="1" x14ac:dyDescent="0.2">
      <c r="A29" s="20"/>
      <c r="B29" s="20"/>
      <c r="C29" s="4" t="str">
        <f>C23</f>
        <v>Debt Reserve</v>
      </c>
      <c r="D29" s="43"/>
      <c r="E29" s="43"/>
      <c r="F29" s="43"/>
      <c r="G29" s="43"/>
      <c r="H29" s="43"/>
      <c r="I29" s="43"/>
      <c r="J29" s="43"/>
      <c r="L29" s="43"/>
      <c r="M29" s="43"/>
      <c r="N29" s="43"/>
      <c r="O29" s="43"/>
      <c r="P29" s="43"/>
    </row>
    <row r="30" spans="1:16" ht="14.1" customHeight="1" x14ac:dyDescent="0.2">
      <c r="A30" s="20"/>
      <c r="B30" s="20"/>
      <c r="C30" s="4" t="str">
        <f>C24</f>
        <v>Treasury Fee</v>
      </c>
      <c r="D30" s="43"/>
      <c r="E30" s="43"/>
      <c r="F30" s="43"/>
      <c r="G30" s="43"/>
      <c r="H30" s="43"/>
      <c r="I30" s="43"/>
      <c r="J30" s="43"/>
      <c r="L30" s="43"/>
      <c r="M30" s="43"/>
      <c r="N30" s="43"/>
      <c r="O30" s="43"/>
      <c r="P30" s="43"/>
    </row>
    <row r="31" spans="1:16" ht="14.1" customHeight="1" thickBot="1" x14ac:dyDescent="0.25">
      <c r="A31" s="20"/>
      <c r="B31" s="20"/>
      <c r="C31" s="4" t="str">
        <f>C25</f>
        <v>Intercept</v>
      </c>
      <c r="D31" s="43"/>
      <c r="E31" s="43"/>
      <c r="F31" s="43"/>
      <c r="G31" s="43"/>
      <c r="H31" s="43"/>
      <c r="I31" s="43"/>
      <c r="J31" s="43"/>
      <c r="L31" s="43"/>
      <c r="M31" s="43"/>
      <c r="N31" s="43"/>
      <c r="O31" s="43"/>
      <c r="P31" s="43"/>
    </row>
    <row r="32" spans="1:16" ht="14.1" customHeight="1" thickBot="1" x14ac:dyDescent="0.25">
      <c r="A32" s="20"/>
      <c r="B32" s="20"/>
      <c r="C32" s="6" t="s">
        <v>124</v>
      </c>
      <c r="D32" s="43"/>
      <c r="E32" s="43"/>
      <c r="F32" s="43"/>
      <c r="G32" s="43"/>
      <c r="H32" s="43"/>
      <c r="I32" s="43"/>
      <c r="J32" s="43"/>
      <c r="L32" s="43"/>
      <c r="M32" s="43"/>
      <c r="N32" s="43"/>
      <c r="O32" s="43"/>
      <c r="P32" s="43"/>
    </row>
    <row r="33" spans="2:3" ht="14.1" customHeight="1" x14ac:dyDescent="0.2">
      <c r="C33" s="4"/>
    </row>
    <row r="34" spans="2:3" ht="14.1" customHeight="1" x14ac:dyDescent="0.25">
      <c r="B34" s="9" t="s">
        <v>105</v>
      </c>
      <c r="C34" s="30" t="s">
        <v>12</v>
      </c>
    </row>
    <row r="35" spans="2:3" ht="14.1" customHeight="1" x14ac:dyDescent="0.2">
      <c r="C35" s="4" t="str">
        <f>C29</f>
        <v>Debt Reserve</v>
      </c>
    </row>
    <row r="36" spans="2:3" ht="14.1" customHeight="1" x14ac:dyDescent="0.2">
      <c r="C36" s="4" t="str">
        <f>C30</f>
        <v>Treasury Fee</v>
      </c>
    </row>
    <row r="37" spans="2:3" ht="14.1" customHeight="1" thickBot="1" x14ac:dyDescent="0.25">
      <c r="C37" s="4" t="str">
        <f>C31</f>
        <v>Intercept</v>
      </c>
    </row>
    <row r="38" spans="2:3" ht="14.1" customHeight="1" thickBot="1" x14ac:dyDescent="0.25">
      <c r="C38" s="6" t="s">
        <v>13</v>
      </c>
    </row>
    <row r="39" spans="2:3" ht="14.1" customHeight="1" x14ac:dyDescent="0.2">
      <c r="C39" s="4"/>
    </row>
    <row r="40" spans="2:3" ht="14.1" customHeight="1" x14ac:dyDescent="0.25">
      <c r="B40" s="9" t="s">
        <v>105</v>
      </c>
      <c r="C40" s="10" t="s">
        <v>14</v>
      </c>
    </row>
    <row r="41" spans="2:3" ht="14.1" customHeight="1" x14ac:dyDescent="0.2">
      <c r="C41" s="4" t="str">
        <f>C35</f>
        <v>Debt Reserve</v>
      </c>
    </row>
    <row r="42" spans="2:3" ht="14.1" customHeight="1" x14ac:dyDescent="0.2">
      <c r="C42" s="4" t="str">
        <f>C36</f>
        <v>Treasury Fee</v>
      </c>
    </row>
    <row r="43" spans="2:3" ht="14.1" customHeight="1" thickBot="1" x14ac:dyDescent="0.25">
      <c r="C43" s="4" t="str">
        <f>C37</f>
        <v>Intercept</v>
      </c>
    </row>
    <row r="44" spans="2:3" ht="14.1" customHeight="1" thickBot="1" x14ac:dyDescent="0.25">
      <c r="C44" s="6" t="s">
        <v>15</v>
      </c>
    </row>
    <row r="45" spans="2:3" ht="14.1" customHeight="1" x14ac:dyDescent="0.2">
      <c r="C45" s="4"/>
    </row>
    <row r="46" spans="2:3" ht="14.1" customHeight="1" x14ac:dyDescent="0.25">
      <c r="B46" s="9" t="s">
        <v>105</v>
      </c>
      <c r="C46" s="11" t="s">
        <v>87</v>
      </c>
    </row>
    <row r="47" spans="2:3" ht="14.1" customHeight="1" x14ac:dyDescent="0.2">
      <c r="C47" s="4" t="str">
        <f>C41</f>
        <v>Debt Reserve</v>
      </c>
    </row>
    <row r="48" spans="2:3" ht="14.1" customHeight="1" x14ac:dyDescent="0.2">
      <c r="C48" s="4" t="str">
        <f>C42</f>
        <v>Treasury Fee</v>
      </c>
    </row>
    <row r="49" spans="2:3" ht="14.1" customHeight="1" thickBot="1" x14ac:dyDescent="0.25">
      <c r="C49" s="4" t="str">
        <f>C43</f>
        <v>Intercept</v>
      </c>
    </row>
    <row r="50" spans="2:3" ht="14.1" customHeight="1" thickBot="1" x14ac:dyDescent="0.25">
      <c r="C50" s="6" t="s">
        <v>16</v>
      </c>
    </row>
    <row r="51" spans="2:3" ht="14.1" customHeight="1" x14ac:dyDescent="0.2">
      <c r="C51" s="4"/>
    </row>
    <row r="52" spans="2:3" ht="14.1" customHeight="1" x14ac:dyDescent="0.25">
      <c r="B52" s="9" t="s">
        <v>105</v>
      </c>
      <c r="C52" s="10" t="s">
        <v>17</v>
      </c>
    </row>
    <row r="53" spans="2:3" ht="14.1" customHeight="1" x14ac:dyDescent="0.2">
      <c r="C53" s="4" t="str">
        <f>C47</f>
        <v>Debt Reserve</v>
      </c>
    </row>
    <row r="54" spans="2:3" ht="14.1" customHeight="1" x14ac:dyDescent="0.2">
      <c r="C54" s="4" t="str">
        <f>C48</f>
        <v>Treasury Fee</v>
      </c>
    </row>
    <row r="55" spans="2:3" ht="14.1" customHeight="1" thickBot="1" x14ac:dyDescent="0.25">
      <c r="C55" s="4" t="str">
        <f>C49</f>
        <v>Intercept</v>
      </c>
    </row>
    <row r="56" spans="2:3" ht="14.1" customHeight="1" thickBot="1" x14ac:dyDescent="0.25">
      <c r="C56" s="6" t="s">
        <v>18</v>
      </c>
    </row>
    <row r="57" spans="2:3" ht="14.1" customHeight="1" x14ac:dyDescent="0.2">
      <c r="C57" s="4"/>
    </row>
    <row r="58" spans="2:3" ht="14.1" customHeight="1" x14ac:dyDescent="0.25">
      <c r="B58" s="9" t="s">
        <v>105</v>
      </c>
      <c r="C58" s="30" t="s">
        <v>137</v>
      </c>
    </row>
    <row r="59" spans="2:3" ht="14.1" customHeight="1" x14ac:dyDescent="0.2">
      <c r="C59" s="4" t="str">
        <f>C53</f>
        <v>Debt Reserve</v>
      </c>
    </row>
    <row r="60" spans="2:3" ht="14.1" customHeight="1" x14ac:dyDescent="0.2">
      <c r="C60" s="4" t="str">
        <f>C54</f>
        <v>Treasury Fee</v>
      </c>
    </row>
    <row r="61" spans="2:3" ht="14.1" customHeight="1" thickBot="1" x14ac:dyDescent="0.25">
      <c r="C61" s="4" t="str">
        <f>C55</f>
        <v>Intercept</v>
      </c>
    </row>
    <row r="62" spans="2:3" ht="14.1" customHeight="1" thickBot="1" x14ac:dyDescent="0.25">
      <c r="C62" s="6" t="s">
        <v>138</v>
      </c>
    </row>
    <row r="63" spans="2:3" ht="14.1" customHeight="1" x14ac:dyDescent="0.2">
      <c r="C63" s="4"/>
    </row>
    <row r="64" spans="2:3" ht="14.1" customHeight="1" x14ac:dyDescent="0.25">
      <c r="B64" s="9" t="s">
        <v>105</v>
      </c>
      <c r="C64" s="10" t="s">
        <v>19</v>
      </c>
    </row>
    <row r="65" spans="1:16" ht="14.1" customHeight="1" x14ac:dyDescent="0.2">
      <c r="C65" s="4" t="str">
        <f>C59</f>
        <v>Debt Reserve</v>
      </c>
    </row>
    <row r="66" spans="1:16" ht="14.1" customHeight="1" x14ac:dyDescent="0.2">
      <c r="C66" s="4" t="str">
        <f>C60</f>
        <v>Treasury Fee</v>
      </c>
    </row>
    <row r="67" spans="1:16" ht="14.1" customHeight="1" thickBot="1" x14ac:dyDescent="0.25">
      <c r="C67" s="4" t="str">
        <f>C61</f>
        <v>Intercept</v>
      </c>
    </row>
    <row r="68" spans="1:16" ht="14.1" customHeight="1" thickBot="1" x14ac:dyDescent="0.25">
      <c r="C68" s="6" t="s">
        <v>20</v>
      </c>
    </row>
    <row r="69" spans="1:16" ht="14.1" customHeight="1" x14ac:dyDescent="0.2">
      <c r="C69" s="4"/>
    </row>
    <row r="70" spans="1:16" ht="14.1" customHeight="1" x14ac:dyDescent="0.25">
      <c r="B70" s="9" t="s">
        <v>105</v>
      </c>
      <c r="C70" s="30" t="s">
        <v>21</v>
      </c>
    </row>
    <row r="71" spans="1:16" ht="14.1" customHeight="1" x14ac:dyDescent="0.2">
      <c r="C71" s="4" t="str">
        <f>C65</f>
        <v>Debt Reserve</v>
      </c>
    </row>
    <row r="72" spans="1:16" ht="14.1" customHeight="1" x14ac:dyDescent="0.2">
      <c r="C72" s="4" t="str">
        <f>C66</f>
        <v>Treasury Fee</v>
      </c>
    </row>
    <row r="73" spans="1:16" ht="14.1" customHeight="1" thickBot="1" x14ac:dyDescent="0.25">
      <c r="C73" s="4" t="str">
        <f>C67</f>
        <v>Intercept</v>
      </c>
    </row>
    <row r="74" spans="1:16" ht="14.1" customHeight="1" thickBot="1" x14ac:dyDescent="0.25">
      <c r="C74" s="6" t="s">
        <v>22</v>
      </c>
    </row>
    <row r="75" spans="1:16" ht="14.1" customHeight="1" x14ac:dyDescent="0.2">
      <c r="C75" s="4"/>
    </row>
    <row r="76" spans="1:16" ht="14.1" customHeight="1" x14ac:dyDescent="0.25">
      <c r="A76" s="1">
        <v>1</v>
      </c>
      <c r="C76" s="5" t="s">
        <v>23</v>
      </c>
    </row>
    <row r="77" spans="1:16" ht="14.1" customHeight="1" x14ac:dyDescent="0.2">
      <c r="C77" s="4" t="str">
        <f>C71</f>
        <v>Debt Reserve</v>
      </c>
      <c r="D77" s="26">
        <v>437.08</v>
      </c>
      <c r="E77" s="26">
        <v>437.08</v>
      </c>
      <c r="F77" s="26">
        <v>437.08</v>
      </c>
      <c r="G77" s="26">
        <v>437.08</v>
      </c>
      <c r="H77" s="26">
        <v>437.08</v>
      </c>
      <c r="I77" s="26">
        <v>437.08</v>
      </c>
      <c r="J77" s="26">
        <v>437.08</v>
      </c>
      <c r="K77" s="39">
        <v>437.08</v>
      </c>
      <c r="L77" s="26">
        <v>437.08</v>
      </c>
      <c r="M77" s="26">
        <v>437.08</v>
      </c>
      <c r="N77" s="47">
        <v>412.5</v>
      </c>
      <c r="O77" s="47">
        <v>412.5</v>
      </c>
      <c r="P77" s="26">
        <f>SUM(D77:O77)</f>
        <v>5195.8</v>
      </c>
    </row>
    <row r="78" spans="1:16" ht="14.1" customHeight="1" x14ac:dyDescent="0.2">
      <c r="C78" s="4" t="str">
        <f>C72</f>
        <v>Treasury Fee</v>
      </c>
      <c r="D78" s="47">
        <v>250</v>
      </c>
      <c r="E78" s="47"/>
      <c r="F78" s="47"/>
      <c r="G78" s="47"/>
      <c r="H78" s="47"/>
      <c r="I78" s="47"/>
      <c r="J78" s="47"/>
      <c r="K78" s="55"/>
      <c r="L78" s="47"/>
      <c r="M78" s="47"/>
      <c r="N78" s="47"/>
      <c r="O78" s="47"/>
      <c r="P78" s="26">
        <f>SUM(D78:O78)</f>
        <v>250</v>
      </c>
    </row>
    <row r="79" spans="1:16" ht="14.1" customHeight="1" thickBot="1" x14ac:dyDescent="0.25">
      <c r="C79" s="4" t="str">
        <f>C73</f>
        <v>Intercept</v>
      </c>
      <c r="D79" s="26">
        <f t="shared" ref="D79:N79" si="0">24583.33+22211.46</f>
        <v>46794.79</v>
      </c>
      <c r="E79" s="26">
        <f t="shared" si="0"/>
        <v>46794.79</v>
      </c>
      <c r="F79" s="26">
        <f t="shared" si="0"/>
        <v>46794.79</v>
      </c>
      <c r="G79" s="26">
        <f t="shared" si="0"/>
        <v>46794.79</v>
      </c>
      <c r="H79" s="26">
        <f t="shared" si="0"/>
        <v>46794.79</v>
      </c>
      <c r="I79" s="26">
        <f t="shared" si="0"/>
        <v>46794.79</v>
      </c>
      <c r="J79" s="26">
        <f t="shared" si="0"/>
        <v>46794.79</v>
      </c>
      <c r="K79" s="39">
        <f t="shared" si="0"/>
        <v>46794.79</v>
      </c>
      <c r="L79" s="26">
        <f t="shared" si="0"/>
        <v>46794.79</v>
      </c>
      <c r="M79" s="26">
        <f t="shared" si="0"/>
        <v>46794.79</v>
      </c>
      <c r="N79" s="26">
        <f t="shared" si="0"/>
        <v>46794.79</v>
      </c>
      <c r="O79" s="47">
        <f>25833.33+20982.29</f>
        <v>46815.62</v>
      </c>
      <c r="P79" s="26">
        <f>SUM(D79:O79)</f>
        <v>561558.30999999994</v>
      </c>
    </row>
    <row r="80" spans="1:16" ht="14.1" customHeight="1" thickBot="1" x14ac:dyDescent="0.25">
      <c r="C80" s="6" t="s">
        <v>24</v>
      </c>
      <c r="D80" s="27">
        <f t="shared" ref="D80:P80" si="1">SUM(D77:D79)</f>
        <v>47481.87</v>
      </c>
      <c r="E80" s="27">
        <f t="shared" si="1"/>
        <v>47231.87</v>
      </c>
      <c r="F80" s="27">
        <f t="shared" si="1"/>
        <v>47231.87</v>
      </c>
      <c r="G80" s="27">
        <f t="shared" si="1"/>
        <v>47231.87</v>
      </c>
      <c r="H80" s="27">
        <f t="shared" si="1"/>
        <v>47231.87</v>
      </c>
      <c r="I80" s="27">
        <f t="shared" si="1"/>
        <v>47231.87</v>
      </c>
      <c r="J80" s="27">
        <f t="shared" si="1"/>
        <v>47231.87</v>
      </c>
      <c r="K80" s="40">
        <f t="shared" si="1"/>
        <v>47231.87</v>
      </c>
      <c r="L80" s="27">
        <f t="shared" si="1"/>
        <v>47231.87</v>
      </c>
      <c r="M80" s="27">
        <f t="shared" si="1"/>
        <v>47231.87</v>
      </c>
      <c r="N80" s="27">
        <f t="shared" si="1"/>
        <v>47207.29</v>
      </c>
      <c r="O80" s="27">
        <f t="shared" si="1"/>
        <v>47228.12</v>
      </c>
      <c r="P80" s="27">
        <f t="shared" si="1"/>
        <v>567004.11</v>
      </c>
    </row>
    <row r="81" spans="1:16" ht="14.1" customHeight="1" x14ac:dyDescent="0.2">
      <c r="C81" s="12"/>
    </row>
    <row r="82" spans="1:16" ht="14.1" customHeight="1" x14ac:dyDescent="0.25">
      <c r="A82" s="1">
        <f>A76+1</f>
        <v>2</v>
      </c>
      <c r="C82" s="5" t="s">
        <v>25</v>
      </c>
    </row>
    <row r="83" spans="1:16" ht="14.1" customHeight="1" x14ac:dyDescent="0.2">
      <c r="C83" s="4" t="str">
        <f>C77</f>
        <v>Debt Reserve</v>
      </c>
      <c r="D83" s="47">
        <v>1348.75</v>
      </c>
      <c r="E83" s="47">
        <v>1348.75</v>
      </c>
      <c r="F83" s="47">
        <v>1348.75</v>
      </c>
      <c r="G83" s="47">
        <v>1348.75</v>
      </c>
      <c r="H83" s="47">
        <v>1348.75</v>
      </c>
      <c r="I83" s="47">
        <v>1348.75</v>
      </c>
      <c r="J83" s="47">
        <v>1348.75</v>
      </c>
      <c r="K83" s="55">
        <v>1348.75</v>
      </c>
      <c r="L83" s="47">
        <v>1348.75</v>
      </c>
      <c r="M83" s="47">
        <v>1348.75</v>
      </c>
      <c r="N83" s="47">
        <v>1302.08</v>
      </c>
      <c r="O83" s="47">
        <v>1302.08</v>
      </c>
      <c r="P83" s="49">
        <f>SUM(D83:O83)</f>
        <v>16091.66</v>
      </c>
    </row>
    <row r="84" spans="1:16" ht="14.1" customHeight="1" x14ac:dyDescent="0.2">
      <c r="C84" s="4" t="str">
        <f>C78</f>
        <v>Treasury Fee</v>
      </c>
      <c r="D84" s="47">
        <v>250</v>
      </c>
      <c r="E84" s="47"/>
      <c r="F84" s="47"/>
      <c r="G84" s="47"/>
      <c r="H84" s="47"/>
      <c r="I84" s="47"/>
      <c r="J84" s="47"/>
      <c r="K84" s="55"/>
      <c r="L84" s="47"/>
      <c r="M84" s="47"/>
      <c r="N84" s="47"/>
      <c r="O84" s="47"/>
      <c r="P84" s="49">
        <f>SUM(D84:O84)</f>
        <v>250</v>
      </c>
    </row>
    <row r="85" spans="1:16" ht="14.1" customHeight="1" thickBot="1" x14ac:dyDescent="0.25">
      <c r="C85" s="4" t="str">
        <f>C79</f>
        <v>Intercept</v>
      </c>
      <c r="D85" s="47">
        <f>46666.67+72595.83</f>
        <v>119262.5</v>
      </c>
      <c r="E85" s="47">
        <f t="shared" ref="E85:M85" si="2">46666.67+72595.83</f>
        <v>119262.5</v>
      </c>
      <c r="F85" s="47">
        <f t="shared" si="2"/>
        <v>119262.5</v>
      </c>
      <c r="G85" s="47">
        <f t="shared" si="2"/>
        <v>119262.5</v>
      </c>
      <c r="H85" s="47">
        <f t="shared" si="2"/>
        <v>119262.5</v>
      </c>
      <c r="I85" s="47">
        <f t="shared" si="2"/>
        <v>119262.5</v>
      </c>
      <c r="J85" s="47">
        <f t="shared" si="2"/>
        <v>119262.5</v>
      </c>
      <c r="K85" s="55">
        <f t="shared" si="2"/>
        <v>119262.5</v>
      </c>
      <c r="L85" s="47">
        <f t="shared" si="2"/>
        <v>119262.5</v>
      </c>
      <c r="M85" s="47">
        <f t="shared" si="2"/>
        <v>119262.5</v>
      </c>
      <c r="N85" s="47">
        <f>48750+70262.5</f>
        <v>119012.5</v>
      </c>
      <c r="O85" s="47">
        <f>48750+70262.5</f>
        <v>119012.5</v>
      </c>
      <c r="P85" s="49">
        <f>SUM(D85:O85)</f>
        <v>1430650</v>
      </c>
    </row>
    <row r="86" spans="1:16" ht="14.1" customHeight="1" thickBot="1" x14ac:dyDescent="0.25">
      <c r="C86" s="6" t="s">
        <v>26</v>
      </c>
      <c r="D86" s="50">
        <f t="shared" ref="D86:P86" si="3">SUM(D83:D85)</f>
        <v>120861.25</v>
      </c>
      <c r="E86" s="50">
        <f t="shared" si="3"/>
        <v>120611.25</v>
      </c>
      <c r="F86" s="50">
        <f t="shared" si="3"/>
        <v>120611.25</v>
      </c>
      <c r="G86" s="50">
        <f t="shared" si="3"/>
        <v>120611.25</v>
      </c>
      <c r="H86" s="50">
        <f t="shared" si="3"/>
        <v>120611.25</v>
      </c>
      <c r="I86" s="50">
        <f t="shared" si="3"/>
        <v>120611.25</v>
      </c>
      <c r="J86" s="50">
        <f t="shared" si="3"/>
        <v>120611.25</v>
      </c>
      <c r="K86" s="52">
        <f t="shared" si="3"/>
        <v>120611.25</v>
      </c>
      <c r="L86" s="50">
        <f t="shared" si="3"/>
        <v>120611.25</v>
      </c>
      <c r="M86" s="50">
        <f t="shared" si="3"/>
        <v>120611.25</v>
      </c>
      <c r="N86" s="50">
        <f t="shared" si="3"/>
        <v>120314.58</v>
      </c>
      <c r="O86" s="50">
        <f t="shared" si="3"/>
        <v>120314.58</v>
      </c>
      <c r="P86" s="50">
        <f t="shared" si="3"/>
        <v>1446991.66</v>
      </c>
    </row>
    <row r="87" spans="1:16" ht="14.1" customHeight="1" x14ac:dyDescent="0.2">
      <c r="C87" s="12"/>
    </row>
    <row r="88" spans="1:16" ht="14.1" customHeight="1" x14ac:dyDescent="0.25">
      <c r="B88" s="9" t="s">
        <v>105</v>
      </c>
      <c r="C88" s="30" t="s">
        <v>27</v>
      </c>
    </row>
    <row r="89" spans="1:16" ht="14.1" customHeight="1" x14ac:dyDescent="0.2">
      <c r="C89" s="4" t="str">
        <f>C83</f>
        <v>Debt Reserve</v>
      </c>
    </row>
    <row r="90" spans="1:16" ht="14.1" customHeight="1" x14ac:dyDescent="0.2">
      <c r="C90" s="4" t="str">
        <f>C84</f>
        <v>Treasury Fee</v>
      </c>
    </row>
    <row r="91" spans="1:16" ht="14.1" customHeight="1" thickBot="1" x14ac:dyDescent="0.25">
      <c r="C91" s="4" t="str">
        <f>C85</f>
        <v>Intercept</v>
      </c>
    </row>
    <row r="92" spans="1:16" ht="14.1" customHeight="1" thickBot="1" x14ac:dyDescent="0.25">
      <c r="C92" s="6" t="s">
        <v>28</v>
      </c>
    </row>
    <row r="93" spans="1:16" ht="14.1" customHeight="1" x14ac:dyDescent="0.2">
      <c r="C93" s="12"/>
    </row>
    <row r="94" spans="1:16" ht="14.1" customHeight="1" x14ac:dyDescent="0.25">
      <c r="B94" s="9" t="s">
        <v>105</v>
      </c>
      <c r="C94" s="10" t="s">
        <v>29</v>
      </c>
    </row>
    <row r="95" spans="1:16" ht="14.1" customHeight="1" x14ac:dyDescent="0.2">
      <c r="C95" s="4" t="str">
        <f>C89</f>
        <v>Debt Reserve</v>
      </c>
    </row>
    <row r="96" spans="1:16" ht="14.1" customHeight="1" x14ac:dyDescent="0.2">
      <c r="C96" s="4" t="str">
        <f>C90</f>
        <v>Treasury Fee</v>
      </c>
    </row>
    <row r="97" spans="2:3" ht="14.1" customHeight="1" thickBot="1" x14ac:dyDescent="0.25">
      <c r="C97" s="4" t="str">
        <f>C91</f>
        <v>Intercept</v>
      </c>
    </row>
    <row r="98" spans="2:3" ht="14.1" customHeight="1" thickBot="1" x14ac:dyDescent="0.25">
      <c r="C98" s="6" t="s">
        <v>30</v>
      </c>
    </row>
    <row r="99" spans="2:3" ht="14.1" customHeight="1" x14ac:dyDescent="0.2">
      <c r="C99" s="12"/>
    </row>
    <row r="100" spans="2:3" ht="14.1" customHeight="1" x14ac:dyDescent="0.25">
      <c r="B100" s="9" t="s">
        <v>105</v>
      </c>
      <c r="C100" s="10" t="s">
        <v>31</v>
      </c>
    </row>
    <row r="101" spans="2:3" ht="14.1" customHeight="1" x14ac:dyDescent="0.2">
      <c r="C101" s="4" t="str">
        <f>C95</f>
        <v>Debt Reserve</v>
      </c>
    </row>
    <row r="102" spans="2:3" ht="14.1" customHeight="1" x14ac:dyDescent="0.2">
      <c r="C102" s="4" t="str">
        <f>C96</f>
        <v>Treasury Fee</v>
      </c>
    </row>
    <row r="103" spans="2:3" ht="14.1" customHeight="1" thickBot="1" x14ac:dyDescent="0.25">
      <c r="C103" s="4" t="str">
        <f>C97</f>
        <v>Intercept</v>
      </c>
    </row>
    <row r="104" spans="2:3" ht="14.1" customHeight="1" thickBot="1" x14ac:dyDescent="0.25">
      <c r="C104" s="6" t="s">
        <v>32</v>
      </c>
    </row>
    <row r="105" spans="2:3" ht="14.1" customHeight="1" x14ac:dyDescent="0.2">
      <c r="C105" s="12"/>
    </row>
    <row r="106" spans="2:3" ht="14.1" customHeight="1" x14ac:dyDescent="0.25">
      <c r="B106" s="9" t="s">
        <v>105</v>
      </c>
      <c r="C106" s="30" t="s">
        <v>33</v>
      </c>
    </row>
    <row r="107" spans="2:3" ht="14.1" customHeight="1" x14ac:dyDescent="0.2">
      <c r="C107" s="4" t="str">
        <f>C89</f>
        <v>Debt Reserve</v>
      </c>
    </row>
    <row r="108" spans="2:3" ht="14.1" customHeight="1" x14ac:dyDescent="0.2">
      <c r="C108" s="4" t="str">
        <f>C90</f>
        <v>Treasury Fee</v>
      </c>
    </row>
    <row r="109" spans="2:3" ht="14.1" customHeight="1" thickBot="1" x14ac:dyDescent="0.25">
      <c r="C109" s="4" t="str">
        <f>C91</f>
        <v>Intercept</v>
      </c>
    </row>
    <row r="110" spans="2:3" ht="14.1" customHeight="1" thickBot="1" x14ac:dyDescent="0.25">
      <c r="C110" s="6" t="s">
        <v>34</v>
      </c>
    </row>
    <row r="111" spans="2:3" ht="14.1" customHeight="1" x14ac:dyDescent="0.2">
      <c r="C111" s="12"/>
    </row>
    <row r="112" spans="2:3" ht="14.1" customHeight="1" x14ac:dyDescent="0.25">
      <c r="B112" s="9" t="s">
        <v>105</v>
      </c>
      <c r="C112" s="30" t="s">
        <v>35</v>
      </c>
    </row>
    <row r="113" spans="1:16" ht="14.1" customHeight="1" x14ac:dyDescent="0.2">
      <c r="C113" s="4" t="str">
        <f>C95</f>
        <v>Debt Reserve</v>
      </c>
    </row>
    <row r="114" spans="1:16" ht="14.1" customHeight="1" x14ac:dyDescent="0.2">
      <c r="C114" s="4" t="str">
        <f>C96</f>
        <v>Treasury Fee</v>
      </c>
    </row>
    <row r="115" spans="1:16" ht="14.1" customHeight="1" thickBot="1" x14ac:dyDescent="0.25">
      <c r="C115" s="4" t="str">
        <f>C97</f>
        <v>Intercept</v>
      </c>
    </row>
    <row r="116" spans="1:16" ht="14.1" customHeight="1" thickBot="1" x14ac:dyDescent="0.25">
      <c r="C116" s="6" t="s">
        <v>36</v>
      </c>
    </row>
    <row r="117" spans="1:16" ht="14.1" customHeight="1" x14ac:dyDescent="0.2">
      <c r="C117" s="12"/>
    </row>
    <row r="118" spans="1:16" ht="14.1" customHeight="1" x14ac:dyDescent="0.25">
      <c r="B118" s="9" t="s">
        <v>105</v>
      </c>
      <c r="C118" s="30" t="s">
        <v>157</v>
      </c>
    </row>
    <row r="119" spans="1:16" ht="14.1" customHeight="1" x14ac:dyDescent="0.2">
      <c r="C119" s="4" t="str">
        <f>C101</f>
        <v>Debt Reserve</v>
      </c>
    </row>
    <row r="120" spans="1:16" ht="14.1" customHeight="1" x14ac:dyDescent="0.2">
      <c r="C120" s="4" t="str">
        <f>C102</f>
        <v>Treasury Fee</v>
      </c>
    </row>
    <row r="121" spans="1:16" ht="14.1" customHeight="1" thickBot="1" x14ac:dyDescent="0.25">
      <c r="C121" s="4" t="str">
        <f>C103</f>
        <v>Intercept</v>
      </c>
    </row>
    <row r="122" spans="1:16" ht="14.1" customHeight="1" thickBot="1" x14ac:dyDescent="0.25">
      <c r="C122" s="6" t="s">
        <v>37</v>
      </c>
    </row>
    <row r="123" spans="1:16" ht="14.1" customHeight="1" x14ac:dyDescent="0.2">
      <c r="C123" s="12"/>
    </row>
    <row r="124" spans="1:16" ht="14.1" customHeight="1" x14ac:dyDescent="0.25">
      <c r="A124" s="1">
        <f>A82+1</f>
        <v>3</v>
      </c>
      <c r="C124" s="5" t="s">
        <v>38</v>
      </c>
    </row>
    <row r="125" spans="1:16" ht="14.1" customHeight="1" x14ac:dyDescent="0.2">
      <c r="C125" s="4" t="str">
        <f>C107</f>
        <v>Debt Reserve</v>
      </c>
      <c r="D125" s="26">
        <v>387.5</v>
      </c>
      <c r="E125" s="26">
        <v>387.5</v>
      </c>
      <c r="F125" s="26">
        <v>387.5</v>
      </c>
      <c r="G125" s="26">
        <v>387.5</v>
      </c>
      <c r="H125" s="26">
        <v>387.5</v>
      </c>
      <c r="I125" s="26">
        <v>387.5</v>
      </c>
      <c r="J125" s="26">
        <v>387.5</v>
      </c>
      <c r="K125" s="39">
        <v>387.5</v>
      </c>
      <c r="L125" s="26">
        <v>387.5</v>
      </c>
      <c r="M125" s="26">
        <v>387.5</v>
      </c>
      <c r="N125" s="47">
        <v>372.92</v>
      </c>
      <c r="O125" s="47">
        <v>372.92</v>
      </c>
      <c r="P125" s="26">
        <f>SUM(D125:O125)</f>
        <v>4620.84</v>
      </c>
    </row>
    <row r="126" spans="1:16" ht="14.1" customHeight="1" x14ac:dyDescent="0.2">
      <c r="C126" s="4" t="str">
        <f>C108</f>
        <v>Treasury Fee</v>
      </c>
      <c r="D126" s="47">
        <v>250</v>
      </c>
      <c r="E126" s="47"/>
      <c r="F126" s="47"/>
      <c r="G126" s="47"/>
      <c r="H126" s="47"/>
      <c r="I126" s="47"/>
      <c r="J126" s="47"/>
      <c r="K126" s="55"/>
      <c r="L126" s="47"/>
      <c r="M126" s="47"/>
      <c r="N126" s="47"/>
      <c r="O126" s="47"/>
      <c r="P126" s="26">
        <f>SUM(D126:O126)</f>
        <v>250</v>
      </c>
    </row>
    <row r="127" spans="1:16" ht="14.1" customHeight="1" thickBot="1" x14ac:dyDescent="0.25">
      <c r="C127" s="4" t="str">
        <f>C109</f>
        <v>Intercept</v>
      </c>
      <c r="D127" s="26">
        <f>14583.33+20167.71</f>
        <v>34751.040000000001</v>
      </c>
      <c r="E127" s="26">
        <f>14583.33+20167.71</f>
        <v>34751.040000000001</v>
      </c>
      <c r="F127" s="26">
        <f>14583.33+20167.71</f>
        <v>34751.040000000001</v>
      </c>
      <c r="G127" s="26">
        <f>14583.33+20167.71</f>
        <v>34751.040000000001</v>
      </c>
      <c r="H127" s="26">
        <f>14583.33+20167.71</f>
        <v>34751.040000000001</v>
      </c>
      <c r="I127" s="47">
        <f>15416.67+19420.31</f>
        <v>34836.980000000003</v>
      </c>
      <c r="J127" s="47">
        <f t="shared" ref="J127:O127" si="4">15416.67+19420.31</f>
        <v>34836.980000000003</v>
      </c>
      <c r="K127" s="55">
        <f t="shared" si="4"/>
        <v>34836.980000000003</v>
      </c>
      <c r="L127" s="47">
        <f t="shared" si="4"/>
        <v>34836.980000000003</v>
      </c>
      <c r="M127" s="47">
        <f t="shared" si="4"/>
        <v>34836.980000000003</v>
      </c>
      <c r="N127" s="47">
        <f t="shared" si="4"/>
        <v>34836.980000000003</v>
      </c>
      <c r="O127" s="47">
        <f t="shared" si="4"/>
        <v>34836.980000000003</v>
      </c>
      <c r="P127" s="26">
        <f>SUM(D127:O127)</f>
        <v>417614.05999999994</v>
      </c>
    </row>
    <row r="128" spans="1:16" ht="14.1" customHeight="1" thickBot="1" x14ac:dyDescent="0.25">
      <c r="C128" s="6" t="s">
        <v>39</v>
      </c>
      <c r="D128" s="27">
        <f t="shared" ref="D128:P128" si="5">SUM(D125:D127)</f>
        <v>35388.54</v>
      </c>
      <c r="E128" s="27">
        <f t="shared" si="5"/>
        <v>35138.54</v>
      </c>
      <c r="F128" s="27">
        <f t="shared" si="5"/>
        <v>35138.54</v>
      </c>
      <c r="G128" s="27">
        <f t="shared" si="5"/>
        <v>35138.54</v>
      </c>
      <c r="H128" s="27">
        <f t="shared" si="5"/>
        <v>35138.54</v>
      </c>
      <c r="I128" s="27">
        <f t="shared" si="5"/>
        <v>35224.480000000003</v>
      </c>
      <c r="J128" s="27">
        <f t="shared" si="5"/>
        <v>35224.480000000003</v>
      </c>
      <c r="K128" s="40">
        <f t="shared" si="5"/>
        <v>35224.480000000003</v>
      </c>
      <c r="L128" s="27">
        <f t="shared" si="5"/>
        <v>35224.480000000003</v>
      </c>
      <c r="M128" s="27">
        <f t="shared" si="5"/>
        <v>35224.480000000003</v>
      </c>
      <c r="N128" s="27">
        <f t="shared" si="5"/>
        <v>35209.9</v>
      </c>
      <c r="O128" s="27">
        <f t="shared" si="5"/>
        <v>35209.9</v>
      </c>
      <c r="P128" s="27">
        <f t="shared" si="5"/>
        <v>422484.89999999997</v>
      </c>
    </row>
    <row r="129" spans="2:3" ht="14.1" customHeight="1" x14ac:dyDescent="0.2">
      <c r="C129" s="12"/>
    </row>
    <row r="130" spans="2:3" ht="14.1" customHeight="1" x14ac:dyDescent="0.25">
      <c r="B130" s="9" t="s">
        <v>105</v>
      </c>
      <c r="C130" s="30" t="s">
        <v>42</v>
      </c>
    </row>
    <row r="131" spans="2:3" ht="14.1" customHeight="1" x14ac:dyDescent="0.2">
      <c r="C131" s="4" t="str">
        <f>C113</f>
        <v>Debt Reserve</v>
      </c>
    </row>
    <row r="132" spans="2:3" ht="14.1" customHeight="1" x14ac:dyDescent="0.2">
      <c r="C132" s="4" t="str">
        <f>C114</f>
        <v>Treasury Fee</v>
      </c>
    </row>
    <row r="133" spans="2:3" ht="14.1" customHeight="1" thickBot="1" x14ac:dyDescent="0.25">
      <c r="C133" s="4" t="str">
        <f>C115</f>
        <v>Intercept</v>
      </c>
    </row>
    <row r="134" spans="2:3" ht="14.1" customHeight="1" thickBot="1" x14ac:dyDescent="0.25">
      <c r="C134" s="6" t="s">
        <v>40</v>
      </c>
    </row>
    <row r="135" spans="2:3" ht="14.1" customHeight="1" x14ac:dyDescent="0.2">
      <c r="C135" s="12"/>
    </row>
    <row r="136" spans="2:3" ht="14.1" customHeight="1" x14ac:dyDescent="0.25">
      <c r="B136" s="9" t="s">
        <v>105</v>
      </c>
      <c r="C136" s="10" t="s">
        <v>43</v>
      </c>
    </row>
    <row r="137" spans="2:3" ht="14.1" customHeight="1" x14ac:dyDescent="0.2">
      <c r="C137" s="4" t="str">
        <f>C119</f>
        <v>Debt Reserve</v>
      </c>
    </row>
    <row r="138" spans="2:3" ht="14.1" customHeight="1" x14ac:dyDescent="0.2">
      <c r="C138" s="4" t="str">
        <f>C120</f>
        <v>Treasury Fee</v>
      </c>
    </row>
    <row r="139" spans="2:3" ht="14.1" customHeight="1" thickBot="1" x14ac:dyDescent="0.25">
      <c r="C139" s="4" t="str">
        <f>C121</f>
        <v>Intercept</v>
      </c>
    </row>
    <row r="140" spans="2:3" ht="14.1" customHeight="1" thickBot="1" x14ac:dyDescent="0.25">
      <c r="C140" s="6" t="s">
        <v>44</v>
      </c>
    </row>
    <row r="141" spans="2:3" ht="14.1" customHeight="1" x14ac:dyDescent="0.2">
      <c r="C141" s="12"/>
    </row>
    <row r="142" spans="2:3" ht="14.1" customHeight="1" x14ac:dyDescent="0.25">
      <c r="B142" s="9" t="s">
        <v>105</v>
      </c>
      <c r="C142" s="30" t="s">
        <v>45</v>
      </c>
    </row>
    <row r="143" spans="2:3" ht="14.1" customHeight="1" x14ac:dyDescent="0.2">
      <c r="C143" s="4" t="str">
        <f>C125</f>
        <v>Debt Reserve</v>
      </c>
    </row>
    <row r="144" spans="2:3" ht="14.1" customHeight="1" x14ac:dyDescent="0.2">
      <c r="C144" s="4" t="str">
        <f>C126</f>
        <v>Treasury Fee</v>
      </c>
    </row>
    <row r="145" spans="2:3" ht="14.1" customHeight="1" thickBot="1" x14ac:dyDescent="0.25">
      <c r="C145" s="4" t="str">
        <f>C127</f>
        <v>Intercept</v>
      </c>
    </row>
    <row r="146" spans="2:3" ht="14.1" customHeight="1" thickBot="1" x14ac:dyDescent="0.25">
      <c r="C146" s="6" t="s">
        <v>46</v>
      </c>
    </row>
    <row r="147" spans="2:3" ht="14.1" customHeight="1" x14ac:dyDescent="0.2">
      <c r="C147" s="12"/>
    </row>
    <row r="148" spans="2:3" ht="14.1" customHeight="1" x14ac:dyDescent="0.25">
      <c r="B148" s="9" t="s">
        <v>105</v>
      </c>
      <c r="C148" s="30" t="s">
        <v>47</v>
      </c>
    </row>
    <row r="149" spans="2:3" ht="14.1" customHeight="1" x14ac:dyDescent="0.2">
      <c r="C149" s="4" t="str">
        <f>C131</f>
        <v>Debt Reserve</v>
      </c>
    </row>
    <row r="150" spans="2:3" ht="14.1" customHeight="1" x14ac:dyDescent="0.2">
      <c r="C150" s="4" t="str">
        <f>C132</f>
        <v>Treasury Fee</v>
      </c>
    </row>
    <row r="151" spans="2:3" ht="14.1" customHeight="1" thickBot="1" x14ac:dyDescent="0.25">
      <c r="C151" s="4" t="str">
        <f>C133</f>
        <v>Intercept</v>
      </c>
    </row>
    <row r="152" spans="2:3" ht="14.1" customHeight="1" thickBot="1" x14ac:dyDescent="0.25">
      <c r="C152" s="6" t="s">
        <v>48</v>
      </c>
    </row>
    <row r="153" spans="2:3" ht="14.1" customHeight="1" x14ac:dyDescent="0.2">
      <c r="C153" s="12"/>
    </row>
    <row r="154" spans="2:3" ht="14.1" customHeight="1" x14ac:dyDescent="0.25">
      <c r="B154" s="9" t="s">
        <v>105</v>
      </c>
      <c r="C154" s="30" t="s">
        <v>49</v>
      </c>
    </row>
    <row r="155" spans="2:3" ht="14.1" customHeight="1" x14ac:dyDescent="0.2">
      <c r="C155" s="4" t="str">
        <f>C137</f>
        <v>Debt Reserve</v>
      </c>
    </row>
    <row r="156" spans="2:3" ht="14.1" customHeight="1" x14ac:dyDescent="0.2">
      <c r="C156" s="4" t="str">
        <f>C138</f>
        <v>Treasury Fee</v>
      </c>
    </row>
    <row r="157" spans="2:3" ht="14.1" customHeight="1" thickBot="1" x14ac:dyDescent="0.25">
      <c r="C157" s="4" t="str">
        <f>C139</f>
        <v>Intercept</v>
      </c>
    </row>
    <row r="158" spans="2:3" ht="14.1" customHeight="1" thickBot="1" x14ac:dyDescent="0.25">
      <c r="C158" s="6" t="s">
        <v>50</v>
      </c>
    </row>
    <row r="159" spans="2:3" ht="14.1" customHeight="1" x14ac:dyDescent="0.2">
      <c r="C159" s="12"/>
    </row>
    <row r="160" spans="2:3" ht="14.1" customHeight="1" x14ac:dyDescent="0.25">
      <c r="B160" s="9" t="s">
        <v>105</v>
      </c>
      <c r="C160" s="10" t="s">
        <v>51</v>
      </c>
    </row>
    <row r="161" spans="2:3" ht="14.1" customHeight="1" x14ac:dyDescent="0.2">
      <c r="C161" s="4" t="str">
        <f>C143</f>
        <v>Debt Reserve</v>
      </c>
    </row>
    <row r="162" spans="2:3" ht="14.1" customHeight="1" x14ac:dyDescent="0.2">
      <c r="C162" s="4" t="str">
        <f>C144</f>
        <v>Treasury Fee</v>
      </c>
    </row>
    <row r="163" spans="2:3" ht="14.1" customHeight="1" thickBot="1" x14ac:dyDescent="0.25">
      <c r="C163" s="4" t="str">
        <f>C145</f>
        <v>Intercept</v>
      </c>
    </row>
    <row r="164" spans="2:3" ht="14.1" customHeight="1" thickBot="1" x14ac:dyDescent="0.25">
      <c r="C164" s="6" t="s">
        <v>52</v>
      </c>
    </row>
    <row r="165" spans="2:3" ht="14.1" customHeight="1" x14ac:dyDescent="0.2">
      <c r="C165" s="12"/>
    </row>
    <row r="166" spans="2:3" ht="14.1" customHeight="1" x14ac:dyDescent="0.25">
      <c r="B166" s="9" t="s">
        <v>105</v>
      </c>
      <c r="C166" s="30" t="s">
        <v>55</v>
      </c>
    </row>
    <row r="167" spans="2:3" ht="14.1" customHeight="1" x14ac:dyDescent="0.2">
      <c r="C167" s="4" t="str">
        <f>C149</f>
        <v>Debt Reserve</v>
      </c>
    </row>
    <row r="168" spans="2:3" ht="14.1" customHeight="1" x14ac:dyDescent="0.2">
      <c r="C168" s="4" t="str">
        <f>C150</f>
        <v>Treasury Fee</v>
      </c>
    </row>
    <row r="169" spans="2:3" ht="14.1" customHeight="1" thickBot="1" x14ac:dyDescent="0.25">
      <c r="C169" s="4" t="str">
        <f>C151</f>
        <v>Intercept</v>
      </c>
    </row>
    <row r="170" spans="2:3" ht="14.1" customHeight="1" thickBot="1" x14ac:dyDescent="0.25">
      <c r="C170" s="6" t="s">
        <v>53</v>
      </c>
    </row>
    <row r="171" spans="2:3" ht="14.1" customHeight="1" x14ac:dyDescent="0.2">
      <c r="C171" s="12"/>
    </row>
    <row r="172" spans="2:3" ht="14.1" customHeight="1" x14ac:dyDescent="0.25">
      <c r="B172" s="9" t="s">
        <v>105</v>
      </c>
      <c r="C172" s="30" t="s">
        <v>57</v>
      </c>
    </row>
    <row r="173" spans="2:3" ht="14.1" customHeight="1" x14ac:dyDescent="0.2">
      <c r="C173" s="4" t="str">
        <f>C155</f>
        <v>Debt Reserve</v>
      </c>
    </row>
    <row r="174" spans="2:3" ht="14.1" customHeight="1" x14ac:dyDescent="0.2">
      <c r="C174" s="4" t="str">
        <f>C156</f>
        <v>Treasury Fee</v>
      </c>
    </row>
    <row r="175" spans="2:3" ht="14.1" customHeight="1" thickBot="1" x14ac:dyDescent="0.25">
      <c r="C175" s="4" t="str">
        <f>C157</f>
        <v>Intercept</v>
      </c>
    </row>
    <row r="176" spans="2:3" ht="14.1" customHeight="1" thickBot="1" x14ac:dyDescent="0.25">
      <c r="C176" s="6" t="s">
        <v>58</v>
      </c>
    </row>
    <row r="177" spans="2:3" ht="14.1" customHeight="1" x14ac:dyDescent="0.2">
      <c r="C177" s="12"/>
    </row>
    <row r="178" spans="2:3" ht="14.1" customHeight="1" x14ac:dyDescent="0.25">
      <c r="B178" s="9" t="s">
        <v>105</v>
      </c>
      <c r="C178" s="30" t="s">
        <v>59</v>
      </c>
    </row>
    <row r="179" spans="2:3" ht="14.1" customHeight="1" x14ac:dyDescent="0.2">
      <c r="C179" s="4" t="str">
        <f>C161</f>
        <v>Debt Reserve</v>
      </c>
    </row>
    <row r="180" spans="2:3" ht="14.1" customHeight="1" x14ac:dyDescent="0.2">
      <c r="C180" s="4" t="str">
        <f>C162</f>
        <v>Treasury Fee</v>
      </c>
    </row>
    <row r="181" spans="2:3" ht="14.1" customHeight="1" thickBot="1" x14ac:dyDescent="0.25">
      <c r="C181" s="4" t="str">
        <f>C163</f>
        <v>Intercept</v>
      </c>
    </row>
    <row r="182" spans="2:3" ht="14.1" customHeight="1" thickBot="1" x14ac:dyDescent="0.25">
      <c r="C182" s="6" t="s">
        <v>60</v>
      </c>
    </row>
    <row r="183" spans="2:3" ht="14.1" customHeight="1" x14ac:dyDescent="0.2">
      <c r="C183" s="12"/>
    </row>
    <row r="184" spans="2:3" ht="14.1" customHeight="1" x14ac:dyDescent="0.25">
      <c r="B184" s="9" t="s">
        <v>105</v>
      </c>
      <c r="C184" s="30" t="s">
        <v>62</v>
      </c>
    </row>
    <row r="185" spans="2:3" ht="14.1" customHeight="1" x14ac:dyDescent="0.2">
      <c r="C185" s="4" t="str">
        <f>C167</f>
        <v>Debt Reserve</v>
      </c>
    </row>
    <row r="186" spans="2:3" ht="14.1" customHeight="1" x14ac:dyDescent="0.2">
      <c r="C186" s="4" t="str">
        <f>C168</f>
        <v>Treasury Fee</v>
      </c>
    </row>
    <row r="187" spans="2:3" ht="14.1" customHeight="1" thickBot="1" x14ac:dyDescent="0.25">
      <c r="C187" s="4" t="str">
        <f>C169</f>
        <v>Intercept</v>
      </c>
    </row>
    <row r="188" spans="2:3" ht="14.1" customHeight="1" thickBot="1" x14ac:dyDescent="0.25">
      <c r="C188" s="6" t="s">
        <v>63</v>
      </c>
    </row>
    <row r="189" spans="2:3" ht="14.1" customHeight="1" x14ac:dyDescent="0.2">
      <c r="C189" s="12"/>
    </row>
    <row r="190" spans="2:3" ht="14.1" customHeight="1" x14ac:dyDescent="0.25">
      <c r="B190" s="9" t="s">
        <v>105</v>
      </c>
      <c r="C190" s="30" t="s">
        <v>64</v>
      </c>
    </row>
    <row r="191" spans="2:3" ht="14.1" customHeight="1" x14ac:dyDescent="0.2">
      <c r="C191" s="4" t="str">
        <f>C173</f>
        <v>Debt Reserve</v>
      </c>
    </row>
    <row r="192" spans="2:3" ht="14.1" customHeight="1" x14ac:dyDescent="0.2">
      <c r="C192" s="4" t="str">
        <f>C174</f>
        <v>Treasury Fee</v>
      </c>
    </row>
    <row r="193" spans="1:3" ht="14.1" customHeight="1" thickBot="1" x14ac:dyDescent="0.25">
      <c r="C193" s="4" t="str">
        <f>C175</f>
        <v>Intercept</v>
      </c>
    </row>
    <row r="194" spans="1:3" ht="14.1" customHeight="1" thickBot="1" x14ac:dyDescent="0.25">
      <c r="C194" s="6" t="s">
        <v>65</v>
      </c>
    </row>
    <row r="195" spans="1:3" ht="14.1" customHeight="1" x14ac:dyDescent="0.2">
      <c r="C195" s="12"/>
    </row>
    <row r="196" spans="1:3" ht="14.1" customHeight="1" x14ac:dyDescent="0.25">
      <c r="B196" s="9" t="s">
        <v>105</v>
      </c>
      <c r="C196" s="30" t="s">
        <v>66</v>
      </c>
    </row>
    <row r="197" spans="1:3" ht="14.1" customHeight="1" x14ac:dyDescent="0.2">
      <c r="C197" s="4" t="str">
        <f>C179</f>
        <v>Debt Reserve</v>
      </c>
    </row>
    <row r="198" spans="1:3" ht="14.1" customHeight="1" x14ac:dyDescent="0.2">
      <c r="C198" s="4" t="str">
        <f>C180</f>
        <v>Treasury Fee</v>
      </c>
    </row>
    <row r="199" spans="1:3" ht="14.1" customHeight="1" thickBot="1" x14ac:dyDescent="0.25">
      <c r="C199" s="4" t="str">
        <f>C181</f>
        <v>Intercept</v>
      </c>
    </row>
    <row r="200" spans="1:3" ht="14.1" customHeight="1" thickBot="1" x14ac:dyDescent="0.25">
      <c r="C200" s="6" t="s">
        <v>67</v>
      </c>
    </row>
    <row r="201" spans="1:3" ht="14.1" customHeight="1" x14ac:dyDescent="0.2">
      <c r="C201" s="12"/>
    </row>
    <row r="202" spans="1:3" ht="14.1" customHeight="1" x14ac:dyDescent="0.25">
      <c r="B202" s="9" t="s">
        <v>105</v>
      </c>
      <c r="C202" s="30" t="s">
        <v>134</v>
      </c>
    </row>
    <row r="203" spans="1:3" ht="14.1" customHeight="1" x14ac:dyDescent="0.2">
      <c r="C203" s="4" t="str">
        <f>C185</f>
        <v>Debt Reserve</v>
      </c>
    </row>
    <row r="204" spans="1:3" ht="14.1" customHeight="1" x14ac:dyDescent="0.2">
      <c r="C204" s="4" t="str">
        <f>C186</f>
        <v>Treasury Fee</v>
      </c>
    </row>
    <row r="205" spans="1:3" ht="14.1" customHeight="1" thickBot="1" x14ac:dyDescent="0.25">
      <c r="C205" s="4" t="str">
        <f>C187</f>
        <v>Intercept</v>
      </c>
    </row>
    <row r="206" spans="1:3" ht="14.1" customHeight="1" thickBot="1" x14ac:dyDescent="0.25">
      <c r="C206" s="6" t="s">
        <v>68</v>
      </c>
    </row>
    <row r="207" spans="1:3" ht="14.1" customHeight="1" x14ac:dyDescent="0.2">
      <c r="C207" s="12"/>
    </row>
    <row r="208" spans="1:3" ht="14.1" customHeight="1" x14ac:dyDescent="0.25">
      <c r="A208" s="1">
        <f>A124+1</f>
        <v>4</v>
      </c>
      <c r="C208" s="5" t="s">
        <v>69</v>
      </c>
    </row>
    <row r="209" spans="1:16" ht="14.1" customHeight="1" x14ac:dyDescent="0.2">
      <c r="C209" s="4" t="str">
        <f>C191</f>
        <v>Debt Reserve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39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f>SUM(D209:O209)</f>
        <v>0</v>
      </c>
    </row>
    <row r="210" spans="1:16" ht="14.1" customHeight="1" x14ac:dyDescent="0.2">
      <c r="C210" s="4" t="str">
        <f>C192</f>
        <v>Treasury Fee</v>
      </c>
      <c r="D210" s="47">
        <v>250</v>
      </c>
      <c r="E210" s="47"/>
      <c r="F210" s="47"/>
      <c r="G210" s="47"/>
      <c r="H210" s="47"/>
      <c r="I210" s="47"/>
      <c r="J210" s="47"/>
      <c r="K210" s="55"/>
      <c r="L210" s="47"/>
      <c r="M210" s="47"/>
      <c r="N210" s="47"/>
      <c r="O210" s="47"/>
      <c r="P210" s="26">
        <f>SUM(D210:O210)</f>
        <v>250</v>
      </c>
    </row>
    <row r="211" spans="1:16" ht="14.1" customHeight="1" thickBot="1" x14ac:dyDescent="0.25">
      <c r="C211" s="4" t="str">
        <f>C193</f>
        <v>Intercept</v>
      </c>
      <c r="D211" s="26">
        <f t="shared" ref="D211:M211" si="6">16666.67+26925.42</f>
        <v>43592.09</v>
      </c>
      <c r="E211" s="26">
        <f t="shared" si="6"/>
        <v>43592.09</v>
      </c>
      <c r="F211" s="26">
        <f t="shared" si="6"/>
        <v>43592.09</v>
      </c>
      <c r="G211" s="26">
        <f t="shared" si="6"/>
        <v>43592.09</v>
      </c>
      <c r="H211" s="26">
        <f t="shared" si="6"/>
        <v>43592.09</v>
      </c>
      <c r="I211" s="26">
        <f t="shared" si="6"/>
        <v>43592.09</v>
      </c>
      <c r="J211" s="26">
        <f t="shared" si="6"/>
        <v>43592.09</v>
      </c>
      <c r="K211" s="39">
        <f t="shared" si="6"/>
        <v>43592.09</v>
      </c>
      <c r="L211" s="26">
        <f t="shared" si="6"/>
        <v>43592.09</v>
      </c>
      <c r="M211" s="26">
        <f t="shared" si="6"/>
        <v>43592.09</v>
      </c>
      <c r="N211" s="47">
        <f>17500+26025.42</f>
        <v>43525.42</v>
      </c>
      <c r="O211" s="47">
        <f>17500+26025.42</f>
        <v>43525.42</v>
      </c>
      <c r="P211" s="26">
        <f>SUM(D211:O211)</f>
        <v>522971.73999999987</v>
      </c>
    </row>
    <row r="212" spans="1:16" ht="14.1" customHeight="1" thickBot="1" x14ac:dyDescent="0.25">
      <c r="C212" s="6" t="s">
        <v>20</v>
      </c>
      <c r="D212" s="27">
        <f t="shared" ref="D212:P212" si="7">SUM(D209:D211)</f>
        <v>43842.09</v>
      </c>
      <c r="E212" s="27">
        <f t="shared" si="7"/>
        <v>43592.09</v>
      </c>
      <c r="F212" s="27">
        <f t="shared" si="7"/>
        <v>43592.09</v>
      </c>
      <c r="G212" s="27">
        <f t="shared" si="7"/>
        <v>43592.09</v>
      </c>
      <c r="H212" s="27">
        <f t="shared" si="7"/>
        <v>43592.09</v>
      </c>
      <c r="I212" s="27">
        <f t="shared" si="7"/>
        <v>43592.09</v>
      </c>
      <c r="J212" s="27">
        <f t="shared" si="7"/>
        <v>43592.09</v>
      </c>
      <c r="K212" s="40">
        <f t="shared" si="7"/>
        <v>43592.09</v>
      </c>
      <c r="L212" s="27">
        <f t="shared" si="7"/>
        <v>43592.09</v>
      </c>
      <c r="M212" s="27">
        <f t="shared" si="7"/>
        <v>43592.09</v>
      </c>
      <c r="N212" s="27">
        <f t="shared" si="7"/>
        <v>43525.42</v>
      </c>
      <c r="O212" s="27">
        <f t="shared" si="7"/>
        <v>43525.42</v>
      </c>
      <c r="P212" s="27">
        <f t="shared" si="7"/>
        <v>523221.73999999987</v>
      </c>
    </row>
    <row r="213" spans="1:16" ht="14.1" customHeight="1" x14ac:dyDescent="0.2">
      <c r="C213" s="12"/>
    </row>
    <row r="214" spans="1:16" ht="14.1" customHeight="1" x14ac:dyDescent="0.25">
      <c r="B214" s="9" t="s">
        <v>105</v>
      </c>
      <c r="C214" s="30" t="s">
        <v>70</v>
      </c>
    </row>
    <row r="215" spans="1:16" ht="14.1" customHeight="1" x14ac:dyDescent="0.2">
      <c r="C215" s="4" t="str">
        <f>C197</f>
        <v>Debt Reserve</v>
      </c>
    </row>
    <row r="216" spans="1:16" ht="14.1" customHeight="1" x14ac:dyDescent="0.2">
      <c r="C216" s="4" t="str">
        <f>C198</f>
        <v>Treasury Fee</v>
      </c>
    </row>
    <row r="217" spans="1:16" ht="14.1" customHeight="1" thickBot="1" x14ac:dyDescent="0.25">
      <c r="C217" s="4" t="str">
        <f>C199</f>
        <v>Intercept</v>
      </c>
    </row>
    <row r="218" spans="1:16" ht="14.1" customHeight="1" thickBot="1" x14ac:dyDescent="0.25">
      <c r="C218" s="6" t="s">
        <v>71</v>
      </c>
    </row>
    <row r="219" spans="1:16" ht="14.1" customHeight="1" x14ac:dyDescent="0.2">
      <c r="C219" s="12"/>
    </row>
    <row r="220" spans="1:16" ht="14.1" customHeight="1" x14ac:dyDescent="0.25">
      <c r="A220" s="1">
        <f>A208+1</f>
        <v>5</v>
      </c>
      <c r="C220" s="5" t="s">
        <v>72</v>
      </c>
    </row>
    <row r="221" spans="1:16" ht="14.1" customHeight="1" x14ac:dyDescent="0.2">
      <c r="C221" s="4" t="str">
        <f>C203</f>
        <v>Debt Reserve</v>
      </c>
      <c r="D221" s="26">
        <v>339.45</v>
      </c>
      <c r="E221" s="26">
        <v>339.45</v>
      </c>
      <c r="F221" s="26">
        <v>339.45</v>
      </c>
      <c r="G221" s="26">
        <v>339.45</v>
      </c>
      <c r="H221" s="26">
        <v>339.45</v>
      </c>
      <c r="I221" s="26">
        <v>339.45</v>
      </c>
      <c r="J221" s="47">
        <v>326.55</v>
      </c>
      <c r="K221" s="55">
        <v>326.55</v>
      </c>
      <c r="L221" s="47">
        <v>326.55</v>
      </c>
      <c r="M221" s="47">
        <v>326.55</v>
      </c>
      <c r="N221" s="47">
        <v>326.55</v>
      </c>
      <c r="O221" s="47">
        <v>326.55</v>
      </c>
      <c r="P221" s="26">
        <f>SUM(D221:O221)</f>
        <v>3996.0000000000009</v>
      </c>
    </row>
    <row r="222" spans="1:16" ht="14.1" customHeight="1" x14ac:dyDescent="0.2">
      <c r="C222" s="4" t="str">
        <f>C204</f>
        <v>Treasury Fee</v>
      </c>
      <c r="D222" s="47">
        <v>250</v>
      </c>
      <c r="E222" s="47"/>
      <c r="F222" s="47"/>
      <c r="G222" s="47"/>
      <c r="H222" s="47"/>
      <c r="I222" s="47"/>
      <c r="J222" s="47"/>
      <c r="K222" s="55"/>
      <c r="L222" s="47"/>
      <c r="M222" s="47"/>
      <c r="N222" s="47"/>
      <c r="O222" s="47"/>
      <c r="P222" s="26">
        <f>SUM(D222:O222)</f>
        <v>250</v>
      </c>
    </row>
    <row r="223" spans="1:16" ht="14.1" customHeight="1" thickBot="1" x14ac:dyDescent="0.25">
      <c r="C223" s="4" t="str">
        <f>C205</f>
        <v>Intercept</v>
      </c>
      <c r="D223" s="26">
        <f>12916.67+14651.88</f>
        <v>27568.55</v>
      </c>
      <c r="E223" s="26">
        <f>12916.67+14651.88</f>
        <v>27568.55</v>
      </c>
      <c r="F223" s="26">
        <f>12916.67+14651.88</f>
        <v>27568.55</v>
      </c>
      <c r="G223" s="26">
        <f>12916.67+14651.88</f>
        <v>27568.55</v>
      </c>
      <c r="H223" s="26">
        <f>12916.67+14651.88</f>
        <v>27568.55</v>
      </c>
      <c r="I223" s="47">
        <f>13333.33+14135.21</f>
        <v>27468.54</v>
      </c>
      <c r="J223" s="47">
        <f t="shared" ref="J223:O223" si="8">13333.33+14135.21</f>
        <v>27468.54</v>
      </c>
      <c r="K223" s="55">
        <f t="shared" si="8"/>
        <v>27468.54</v>
      </c>
      <c r="L223" s="47">
        <f t="shared" si="8"/>
        <v>27468.54</v>
      </c>
      <c r="M223" s="47">
        <f t="shared" si="8"/>
        <v>27468.54</v>
      </c>
      <c r="N223" s="47">
        <f t="shared" si="8"/>
        <v>27468.54</v>
      </c>
      <c r="O223" s="47">
        <f t="shared" si="8"/>
        <v>27468.54</v>
      </c>
      <c r="P223" s="26">
        <f>SUM(D223:O223)</f>
        <v>330122.52999999997</v>
      </c>
    </row>
    <row r="224" spans="1:16" ht="14.1" customHeight="1" thickBot="1" x14ac:dyDescent="0.25">
      <c r="C224" s="6" t="s">
        <v>73</v>
      </c>
      <c r="D224" s="27">
        <f t="shared" ref="D224:P224" si="9">SUM(D221:D223)</f>
        <v>28158</v>
      </c>
      <c r="E224" s="27">
        <f t="shared" si="9"/>
        <v>27908</v>
      </c>
      <c r="F224" s="27">
        <f t="shared" si="9"/>
        <v>27908</v>
      </c>
      <c r="G224" s="27">
        <f t="shared" si="9"/>
        <v>27908</v>
      </c>
      <c r="H224" s="27">
        <f t="shared" si="9"/>
        <v>27908</v>
      </c>
      <c r="I224" s="27">
        <f t="shared" si="9"/>
        <v>27807.99</v>
      </c>
      <c r="J224" s="27">
        <f t="shared" si="9"/>
        <v>27795.09</v>
      </c>
      <c r="K224" s="40">
        <f t="shared" si="9"/>
        <v>27795.09</v>
      </c>
      <c r="L224" s="27">
        <f t="shared" si="9"/>
        <v>27795.09</v>
      </c>
      <c r="M224" s="27">
        <f t="shared" si="9"/>
        <v>27795.09</v>
      </c>
      <c r="N224" s="27">
        <f t="shared" si="9"/>
        <v>27795.09</v>
      </c>
      <c r="O224" s="27">
        <f t="shared" si="9"/>
        <v>27795.09</v>
      </c>
      <c r="P224" s="27">
        <f t="shared" si="9"/>
        <v>334368.52999999997</v>
      </c>
    </row>
    <row r="225" spans="1:16" ht="14.1" customHeight="1" x14ac:dyDescent="0.2">
      <c r="C225" s="12"/>
    </row>
    <row r="226" spans="1:16" ht="14.1" customHeight="1" x14ac:dyDescent="0.25">
      <c r="B226" s="9" t="s">
        <v>105</v>
      </c>
      <c r="C226" s="44" t="s">
        <v>74</v>
      </c>
    </row>
    <row r="227" spans="1:16" ht="14.1" customHeight="1" x14ac:dyDescent="0.2">
      <c r="C227" s="4" t="str">
        <f>C209</f>
        <v>Debt Reserve</v>
      </c>
    </row>
    <row r="228" spans="1:16" ht="14.1" customHeight="1" x14ac:dyDescent="0.2">
      <c r="C228" s="4" t="str">
        <f>C210</f>
        <v>Treasury Fee</v>
      </c>
    </row>
    <row r="229" spans="1:16" ht="14.1" customHeight="1" thickBot="1" x14ac:dyDescent="0.25">
      <c r="C229" s="4" t="str">
        <f>C211</f>
        <v>Intercept</v>
      </c>
    </row>
    <row r="230" spans="1:16" ht="14.1" customHeight="1" thickBot="1" x14ac:dyDescent="0.25">
      <c r="C230" s="14" t="s">
        <v>75</v>
      </c>
    </row>
    <row r="231" spans="1:16" ht="14.1" customHeight="1" x14ac:dyDescent="0.2">
      <c r="C231" s="12"/>
    </row>
    <row r="232" spans="1:16" ht="14.1" customHeight="1" x14ac:dyDescent="0.25">
      <c r="A232" s="1">
        <f>A220+1</f>
        <v>6</v>
      </c>
      <c r="C232" s="13" t="s">
        <v>76</v>
      </c>
    </row>
    <row r="233" spans="1:16" ht="14.1" customHeight="1" x14ac:dyDescent="0.2">
      <c r="C233" s="4" t="str">
        <f>C221</f>
        <v>Debt Reserve</v>
      </c>
      <c r="D233" s="26">
        <v>1046.25</v>
      </c>
      <c r="E233" s="26">
        <v>1046.25</v>
      </c>
      <c r="F233" s="26">
        <v>1046.25</v>
      </c>
      <c r="G233" s="26">
        <v>1046.25</v>
      </c>
      <c r="H233" s="26">
        <v>1046.25</v>
      </c>
      <c r="I233" s="26">
        <v>1046.25</v>
      </c>
      <c r="J233" s="26">
        <v>1046.25</v>
      </c>
      <c r="K233" s="39">
        <v>1046.25</v>
      </c>
      <c r="L233" s="26">
        <v>1046.25</v>
      </c>
      <c r="M233" s="47">
        <v>1012.5</v>
      </c>
      <c r="N233" s="47">
        <v>1012.5</v>
      </c>
      <c r="O233" s="47">
        <v>1012.5</v>
      </c>
      <c r="P233" s="26">
        <f>SUM(D233:O233)</f>
        <v>12453.75</v>
      </c>
    </row>
    <row r="234" spans="1:16" ht="14.1" customHeight="1" x14ac:dyDescent="0.2">
      <c r="C234" s="4" t="str">
        <f>C222</f>
        <v>Treasury Fee</v>
      </c>
      <c r="D234" s="47">
        <v>250</v>
      </c>
      <c r="E234" s="47"/>
      <c r="F234" s="47"/>
      <c r="G234" s="47"/>
      <c r="H234" s="47"/>
      <c r="I234" s="47"/>
      <c r="J234" s="47"/>
      <c r="K234" s="55"/>
      <c r="L234" s="47"/>
      <c r="M234" s="47"/>
      <c r="N234" s="47"/>
      <c r="O234" s="47"/>
      <c r="P234" s="26">
        <f>SUM(D234:O234)</f>
        <v>250</v>
      </c>
    </row>
    <row r="235" spans="1:16" ht="14.1" customHeight="1" thickBot="1" x14ac:dyDescent="0.25">
      <c r="C235" s="4" t="str">
        <f>C223</f>
        <v>Intercept</v>
      </c>
      <c r="D235" s="26">
        <f>33750+46006.25</f>
        <v>79756.25</v>
      </c>
      <c r="E235" s="47">
        <f>35416.67+44656.25</f>
        <v>80072.92</v>
      </c>
      <c r="F235" s="47">
        <f t="shared" ref="F235:O235" si="10">35416.67+44656.25</f>
        <v>80072.92</v>
      </c>
      <c r="G235" s="47">
        <f t="shared" si="10"/>
        <v>80072.92</v>
      </c>
      <c r="H235" s="47">
        <f t="shared" si="10"/>
        <v>80072.92</v>
      </c>
      <c r="I235" s="47">
        <f t="shared" si="10"/>
        <v>80072.92</v>
      </c>
      <c r="J235" s="47">
        <f t="shared" si="10"/>
        <v>80072.92</v>
      </c>
      <c r="K235" s="55">
        <f t="shared" si="10"/>
        <v>80072.92</v>
      </c>
      <c r="L235" s="47">
        <f t="shared" si="10"/>
        <v>80072.92</v>
      </c>
      <c r="M235" s="47">
        <f t="shared" si="10"/>
        <v>80072.92</v>
      </c>
      <c r="N235" s="47">
        <f t="shared" si="10"/>
        <v>80072.92</v>
      </c>
      <c r="O235" s="47">
        <f t="shared" si="10"/>
        <v>80072.92</v>
      </c>
      <c r="P235" s="26">
        <f>SUM(D235:O235)</f>
        <v>960558.37000000011</v>
      </c>
    </row>
    <row r="236" spans="1:16" ht="14.1" customHeight="1" thickBot="1" x14ac:dyDescent="0.25">
      <c r="C236" s="14" t="s">
        <v>77</v>
      </c>
      <c r="D236" s="27">
        <f t="shared" ref="D236:P236" si="11">SUM(D233:D235)</f>
        <v>81052.5</v>
      </c>
      <c r="E236" s="27">
        <f t="shared" si="11"/>
        <v>81119.17</v>
      </c>
      <c r="F236" s="27">
        <f t="shared" si="11"/>
        <v>81119.17</v>
      </c>
      <c r="G236" s="27">
        <f t="shared" si="11"/>
        <v>81119.17</v>
      </c>
      <c r="H236" s="27">
        <f t="shared" si="11"/>
        <v>81119.17</v>
      </c>
      <c r="I236" s="27">
        <f t="shared" si="11"/>
        <v>81119.17</v>
      </c>
      <c r="J236" s="27">
        <f t="shared" si="11"/>
        <v>81119.17</v>
      </c>
      <c r="K236" s="40">
        <f t="shared" si="11"/>
        <v>81119.17</v>
      </c>
      <c r="L236" s="27">
        <f t="shared" si="11"/>
        <v>81119.17</v>
      </c>
      <c r="M236" s="27">
        <f t="shared" si="11"/>
        <v>81085.42</v>
      </c>
      <c r="N236" s="27">
        <f t="shared" si="11"/>
        <v>81085.42</v>
      </c>
      <c r="O236" s="27">
        <f t="shared" si="11"/>
        <v>81085.42</v>
      </c>
      <c r="P236" s="27">
        <f t="shared" si="11"/>
        <v>973262.12000000011</v>
      </c>
    </row>
    <row r="237" spans="1:16" ht="14.1" customHeight="1" x14ac:dyDescent="0.2">
      <c r="C237" s="12"/>
    </row>
    <row r="238" spans="1:16" ht="14.1" customHeight="1" x14ac:dyDescent="0.25">
      <c r="A238" s="1">
        <f>A232+1</f>
        <v>7</v>
      </c>
      <c r="C238" s="13" t="s">
        <v>78</v>
      </c>
    </row>
    <row r="239" spans="1:16" ht="14.1" customHeight="1" x14ac:dyDescent="0.2">
      <c r="C239" s="4" t="str">
        <f>C227</f>
        <v>Debt Reserve</v>
      </c>
      <c r="D239" s="26">
        <v>594.16999999999996</v>
      </c>
      <c r="E239" s="26">
        <v>594.16999999999996</v>
      </c>
      <c r="F239" s="26">
        <v>594.16999999999996</v>
      </c>
      <c r="G239" s="26">
        <v>594.16999999999996</v>
      </c>
      <c r="H239" s="26">
        <v>594.16999999999996</v>
      </c>
      <c r="I239" s="26">
        <v>594.16999999999996</v>
      </c>
      <c r="J239" s="26">
        <v>594.16999999999996</v>
      </c>
      <c r="K239" s="39">
        <v>594.16999999999996</v>
      </c>
      <c r="L239" s="26">
        <v>594.16999999999996</v>
      </c>
      <c r="M239" s="26">
        <v>594.16999999999996</v>
      </c>
      <c r="N239" s="26">
        <v>594.16999999999996</v>
      </c>
      <c r="O239" s="47">
        <v>573.75</v>
      </c>
      <c r="P239" s="26">
        <f>SUM(D239:O239)</f>
        <v>7109.62</v>
      </c>
    </row>
    <row r="240" spans="1:16" ht="14.1" customHeight="1" x14ac:dyDescent="0.2">
      <c r="C240" s="4" t="str">
        <f>C228</f>
        <v>Treasury Fee</v>
      </c>
      <c r="D240" s="47">
        <v>250</v>
      </c>
      <c r="E240" s="47"/>
      <c r="F240" s="47"/>
      <c r="G240" s="47"/>
      <c r="H240" s="47"/>
      <c r="I240" s="47"/>
      <c r="J240" s="47"/>
      <c r="K240" s="55"/>
      <c r="L240" s="47"/>
      <c r="M240" s="47"/>
      <c r="N240" s="47"/>
      <c r="O240" s="47"/>
      <c r="P240" s="26">
        <f>SUM(D240:O240)</f>
        <v>250</v>
      </c>
    </row>
    <row r="241" spans="2:16" ht="14.1" customHeight="1" thickBot="1" x14ac:dyDescent="0.25">
      <c r="C241" s="4" t="str">
        <f>C229</f>
        <v>Intercept</v>
      </c>
      <c r="D241" s="26">
        <f t="shared" ref="D241:K241" si="12">20416.67+27048.86</f>
        <v>47465.53</v>
      </c>
      <c r="E241" s="26">
        <f t="shared" si="12"/>
        <v>47465.53</v>
      </c>
      <c r="F241" s="26">
        <f t="shared" si="12"/>
        <v>47465.53</v>
      </c>
      <c r="G241" s="26">
        <f t="shared" si="12"/>
        <v>47465.53</v>
      </c>
      <c r="H241" s="26">
        <f t="shared" si="12"/>
        <v>47465.53</v>
      </c>
      <c r="I241" s="26">
        <f t="shared" si="12"/>
        <v>47465.53</v>
      </c>
      <c r="J241" s="26">
        <f t="shared" si="12"/>
        <v>47465.53</v>
      </c>
      <c r="K241" s="39">
        <f t="shared" si="12"/>
        <v>47465.53</v>
      </c>
      <c r="L241" s="47">
        <f>21250+26191.36</f>
        <v>47441.36</v>
      </c>
      <c r="M241" s="47">
        <f>21250+26191.36</f>
        <v>47441.36</v>
      </c>
      <c r="N241" s="47">
        <f>21250+26191.36</f>
        <v>47441.36</v>
      </c>
      <c r="O241" s="47">
        <f>21250+26191.36</f>
        <v>47441.36</v>
      </c>
      <c r="P241" s="26">
        <f>SUM(D241:O241)</f>
        <v>569489.67999999993</v>
      </c>
    </row>
    <row r="242" spans="2:16" ht="14.1" customHeight="1" thickBot="1" x14ac:dyDescent="0.25">
      <c r="C242" s="14" t="s">
        <v>79</v>
      </c>
      <c r="D242" s="27">
        <f t="shared" ref="D242:P242" si="13">SUM(D239:D241)</f>
        <v>48309.7</v>
      </c>
      <c r="E242" s="27">
        <f t="shared" si="13"/>
        <v>48059.7</v>
      </c>
      <c r="F242" s="27">
        <f t="shared" si="13"/>
        <v>48059.7</v>
      </c>
      <c r="G242" s="27">
        <f t="shared" si="13"/>
        <v>48059.7</v>
      </c>
      <c r="H242" s="27">
        <f t="shared" si="13"/>
        <v>48059.7</v>
      </c>
      <c r="I242" s="27">
        <f t="shared" si="13"/>
        <v>48059.7</v>
      </c>
      <c r="J242" s="27">
        <f t="shared" si="13"/>
        <v>48059.7</v>
      </c>
      <c r="K242" s="40">
        <f t="shared" si="13"/>
        <v>48059.7</v>
      </c>
      <c r="L242" s="27">
        <f t="shared" si="13"/>
        <v>48035.53</v>
      </c>
      <c r="M242" s="27">
        <f t="shared" si="13"/>
        <v>48035.53</v>
      </c>
      <c r="N242" s="27">
        <f t="shared" si="13"/>
        <v>48035.53</v>
      </c>
      <c r="O242" s="27">
        <f t="shared" si="13"/>
        <v>48015.11</v>
      </c>
      <c r="P242" s="27">
        <f t="shared" si="13"/>
        <v>576849.29999999993</v>
      </c>
    </row>
    <row r="243" spans="2:16" ht="14.1" customHeight="1" x14ac:dyDescent="0.2">
      <c r="C243" s="12"/>
    </row>
    <row r="244" spans="2:16" ht="14.1" customHeight="1" x14ac:dyDescent="0.25">
      <c r="B244" s="9" t="s">
        <v>105</v>
      </c>
      <c r="C244" s="44" t="s">
        <v>80</v>
      </c>
    </row>
    <row r="245" spans="2:16" ht="14.1" customHeight="1" x14ac:dyDescent="0.2">
      <c r="C245" s="4" t="str">
        <f>C239</f>
        <v>Debt Reserve</v>
      </c>
    </row>
    <row r="246" spans="2:16" ht="14.1" customHeight="1" x14ac:dyDescent="0.2">
      <c r="C246" s="4" t="str">
        <f>C240</f>
        <v>Treasury Fee</v>
      </c>
    </row>
    <row r="247" spans="2:16" ht="14.1" customHeight="1" thickBot="1" x14ac:dyDescent="0.25">
      <c r="C247" s="4" t="str">
        <f>C241</f>
        <v>Intercept</v>
      </c>
    </row>
    <row r="248" spans="2:16" ht="14.1" customHeight="1" thickBot="1" x14ac:dyDescent="0.25">
      <c r="C248" s="6" t="s">
        <v>30</v>
      </c>
    </row>
    <row r="249" spans="2:16" ht="14.1" customHeight="1" x14ac:dyDescent="0.2">
      <c r="C249" s="12"/>
    </row>
    <row r="250" spans="2:16" ht="14.1" customHeight="1" x14ac:dyDescent="0.25">
      <c r="B250" s="9" t="s">
        <v>105</v>
      </c>
      <c r="C250" s="44" t="s">
        <v>81</v>
      </c>
    </row>
    <row r="251" spans="2:16" ht="14.1" customHeight="1" x14ac:dyDescent="0.2">
      <c r="C251" s="4" t="str">
        <f>C245</f>
        <v>Debt Reserve</v>
      </c>
    </row>
    <row r="252" spans="2:16" ht="14.1" customHeight="1" x14ac:dyDescent="0.2">
      <c r="C252" s="4" t="str">
        <f>C246</f>
        <v>Treasury Fee</v>
      </c>
    </row>
    <row r="253" spans="2:16" ht="14.1" customHeight="1" thickBot="1" x14ac:dyDescent="0.25">
      <c r="C253" s="4" t="str">
        <f>C247</f>
        <v>Intercept</v>
      </c>
    </row>
    <row r="254" spans="2:16" ht="14.1" customHeight="1" thickBot="1" x14ac:dyDescent="0.25">
      <c r="C254" s="6" t="s">
        <v>32</v>
      </c>
    </row>
    <row r="255" spans="2:16" ht="14.1" customHeight="1" x14ac:dyDescent="0.2">
      <c r="C255" s="12"/>
    </row>
    <row r="256" spans="2:16" ht="14.1" customHeight="1" x14ac:dyDescent="0.25">
      <c r="B256" s="9" t="s">
        <v>105</v>
      </c>
      <c r="C256" s="44" t="s">
        <v>82</v>
      </c>
    </row>
    <row r="257" spans="1:3" ht="14.1" customHeight="1" x14ac:dyDescent="0.2">
      <c r="C257" s="4" t="str">
        <f>C251</f>
        <v>Debt Reserve</v>
      </c>
    </row>
    <row r="258" spans="1:3" ht="14.1" customHeight="1" x14ac:dyDescent="0.2">
      <c r="C258" s="4" t="str">
        <f>C252</f>
        <v>Treasury Fee</v>
      </c>
    </row>
    <row r="259" spans="1:3" ht="14.1" customHeight="1" thickBot="1" x14ac:dyDescent="0.25">
      <c r="C259" s="4" t="str">
        <f>C253</f>
        <v>Intercept</v>
      </c>
    </row>
    <row r="260" spans="1:3" ht="14.1" customHeight="1" thickBot="1" x14ac:dyDescent="0.25">
      <c r="C260" s="14" t="s">
        <v>83</v>
      </c>
    </row>
    <row r="261" spans="1:3" ht="14.1" customHeight="1" x14ac:dyDescent="0.2">
      <c r="C261" s="15"/>
    </row>
    <row r="262" spans="1:3" ht="14.1" customHeight="1" x14ac:dyDescent="0.25">
      <c r="A262" s="16"/>
      <c r="B262" s="7" t="s">
        <v>104</v>
      </c>
      <c r="C262" s="35" t="s">
        <v>85</v>
      </c>
    </row>
    <row r="263" spans="1:3" ht="14.1" customHeight="1" x14ac:dyDescent="0.2">
      <c r="C263" s="4" t="str">
        <f>C257</f>
        <v>Debt Reserve</v>
      </c>
    </row>
    <row r="264" spans="1:3" ht="14.1" customHeight="1" x14ac:dyDescent="0.2">
      <c r="C264" s="4" t="str">
        <f>C258</f>
        <v>Treasury Fee</v>
      </c>
    </row>
    <row r="265" spans="1:3" ht="14.1" customHeight="1" thickBot="1" x14ac:dyDescent="0.25">
      <c r="C265" s="4" t="str">
        <f>C259</f>
        <v>Intercept</v>
      </c>
    </row>
    <row r="266" spans="1:3" ht="14.1" customHeight="1" thickBot="1" x14ac:dyDescent="0.25">
      <c r="C266" s="14" t="s">
        <v>86</v>
      </c>
    </row>
    <row r="267" spans="1:3" ht="14.1" customHeight="1" x14ac:dyDescent="0.2">
      <c r="C267" s="15"/>
    </row>
    <row r="268" spans="1:3" ht="14.1" customHeight="1" x14ac:dyDescent="0.25">
      <c r="A268" s="16"/>
      <c r="B268" s="9" t="s">
        <v>105</v>
      </c>
      <c r="C268" s="44" t="s">
        <v>88</v>
      </c>
    </row>
    <row r="269" spans="1:3" ht="14.1" customHeight="1" x14ac:dyDescent="0.2">
      <c r="C269" s="4" t="str">
        <f>C263</f>
        <v>Debt Reserve</v>
      </c>
    </row>
    <row r="270" spans="1:3" ht="14.1" customHeight="1" x14ac:dyDescent="0.2">
      <c r="C270" s="4" t="str">
        <f>C264</f>
        <v>Treasury Fee</v>
      </c>
    </row>
    <row r="271" spans="1:3" ht="14.1" customHeight="1" thickBot="1" x14ac:dyDescent="0.25">
      <c r="C271" s="4" t="str">
        <f>C265</f>
        <v>Intercept</v>
      </c>
    </row>
    <row r="272" spans="1:3" ht="14.1" customHeight="1" thickBot="1" x14ac:dyDescent="0.25">
      <c r="C272" s="14" t="s">
        <v>89</v>
      </c>
    </row>
    <row r="273" spans="1:16" ht="14.1" customHeight="1" x14ac:dyDescent="0.2">
      <c r="C273" s="15"/>
    </row>
    <row r="274" spans="1:16" ht="14.1" customHeight="1" x14ac:dyDescent="0.25">
      <c r="A274" s="16">
        <f>+A238+1</f>
        <v>8</v>
      </c>
      <c r="C274" s="13" t="s">
        <v>90</v>
      </c>
    </row>
    <row r="275" spans="1:16" ht="14.1" customHeight="1" x14ac:dyDescent="0.2">
      <c r="C275" s="4" t="str">
        <f>C269</f>
        <v>Debt Reserve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39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f>SUM(D275:O275)</f>
        <v>0</v>
      </c>
    </row>
    <row r="276" spans="1:16" ht="14.1" customHeight="1" x14ac:dyDescent="0.2">
      <c r="C276" s="4" t="str">
        <f>C270</f>
        <v>Treasury Fee</v>
      </c>
      <c r="D276" s="47">
        <v>250</v>
      </c>
      <c r="E276" s="47"/>
      <c r="F276" s="47"/>
      <c r="G276" s="47"/>
      <c r="H276" s="47"/>
      <c r="I276" s="47"/>
      <c r="J276" s="47"/>
      <c r="K276" s="55"/>
      <c r="L276" s="47"/>
      <c r="M276" s="47"/>
      <c r="N276" s="47"/>
      <c r="O276" s="47"/>
      <c r="P276" s="26">
        <f>SUM(D276:O276)</f>
        <v>250</v>
      </c>
    </row>
    <row r="277" spans="1:16" ht="14.1" customHeight="1" thickBot="1" x14ac:dyDescent="0.25">
      <c r="C277" s="4" t="str">
        <f>C271</f>
        <v>Intercept</v>
      </c>
      <c r="D277" s="26">
        <f t="shared" ref="D277:M277" si="14">3333.33+10750</f>
        <v>14083.33</v>
      </c>
      <c r="E277" s="26">
        <f t="shared" si="14"/>
        <v>14083.33</v>
      </c>
      <c r="F277" s="26">
        <f t="shared" si="14"/>
        <v>14083.33</v>
      </c>
      <c r="G277" s="26">
        <f t="shared" si="14"/>
        <v>14083.33</v>
      </c>
      <c r="H277" s="26">
        <f t="shared" si="14"/>
        <v>14083.33</v>
      </c>
      <c r="I277" s="26">
        <f t="shared" si="14"/>
        <v>14083.33</v>
      </c>
      <c r="J277" s="26">
        <f t="shared" si="14"/>
        <v>14083.33</v>
      </c>
      <c r="K277" s="39">
        <f t="shared" si="14"/>
        <v>14083.33</v>
      </c>
      <c r="L277" s="26">
        <f t="shared" si="14"/>
        <v>14083.33</v>
      </c>
      <c r="M277" s="26">
        <f t="shared" si="14"/>
        <v>14083.33</v>
      </c>
      <c r="N277" s="47">
        <f>3750+10500</f>
        <v>14250</v>
      </c>
      <c r="O277" s="47">
        <f>3750+10500</f>
        <v>14250</v>
      </c>
      <c r="P277" s="26">
        <f>SUM(D277:O277)</f>
        <v>169333.3</v>
      </c>
    </row>
    <row r="278" spans="1:16" ht="14.1" customHeight="1" thickBot="1" x14ac:dyDescent="0.25">
      <c r="C278" s="14" t="s">
        <v>91</v>
      </c>
      <c r="D278" s="27">
        <f t="shared" ref="D278:P278" si="15">SUM(D275:D277)</f>
        <v>14333.33</v>
      </c>
      <c r="E278" s="27">
        <f t="shared" si="15"/>
        <v>14083.33</v>
      </c>
      <c r="F278" s="27">
        <f t="shared" si="15"/>
        <v>14083.33</v>
      </c>
      <c r="G278" s="27">
        <f t="shared" si="15"/>
        <v>14083.33</v>
      </c>
      <c r="H278" s="27">
        <f t="shared" si="15"/>
        <v>14083.33</v>
      </c>
      <c r="I278" s="27">
        <f t="shared" si="15"/>
        <v>14083.33</v>
      </c>
      <c r="J278" s="27">
        <f t="shared" si="15"/>
        <v>14083.33</v>
      </c>
      <c r="K278" s="40">
        <f t="shared" si="15"/>
        <v>14083.33</v>
      </c>
      <c r="L278" s="27">
        <f t="shared" si="15"/>
        <v>14083.33</v>
      </c>
      <c r="M278" s="27">
        <f t="shared" si="15"/>
        <v>14083.33</v>
      </c>
      <c r="N278" s="27">
        <f t="shared" si="15"/>
        <v>14250</v>
      </c>
      <c r="O278" s="27">
        <f t="shared" si="15"/>
        <v>14250</v>
      </c>
      <c r="P278" s="27">
        <f t="shared" si="15"/>
        <v>169583.3</v>
      </c>
    </row>
    <row r="279" spans="1:16" ht="14.1" customHeight="1" x14ac:dyDescent="0.2">
      <c r="C279" s="15"/>
    </row>
    <row r="280" spans="1:16" ht="14.1" customHeight="1" x14ac:dyDescent="0.25">
      <c r="A280" s="16"/>
      <c r="B280" s="9" t="s">
        <v>105</v>
      </c>
      <c r="C280" s="44" t="s">
        <v>92</v>
      </c>
    </row>
    <row r="281" spans="1:16" ht="14.1" customHeight="1" x14ac:dyDescent="0.2">
      <c r="C281" s="4" t="str">
        <f>C275</f>
        <v>Debt Reserve</v>
      </c>
    </row>
    <row r="282" spans="1:16" ht="14.1" customHeight="1" x14ac:dyDescent="0.2">
      <c r="C282" s="4" t="str">
        <f>C276</f>
        <v>Treasury Fee</v>
      </c>
    </row>
    <row r="283" spans="1:16" ht="14.1" customHeight="1" thickBot="1" x14ac:dyDescent="0.25">
      <c r="C283" s="4" t="str">
        <f>C277</f>
        <v>Intercept</v>
      </c>
    </row>
    <row r="284" spans="1:16" ht="14.1" customHeight="1" thickBot="1" x14ac:dyDescent="0.25">
      <c r="C284" s="14" t="s">
        <v>93</v>
      </c>
    </row>
    <row r="285" spans="1:16" ht="14.1" customHeight="1" x14ac:dyDescent="0.2">
      <c r="C285" s="15"/>
    </row>
    <row r="286" spans="1:16" ht="14.1" customHeight="1" x14ac:dyDescent="0.25">
      <c r="A286" s="16"/>
      <c r="B286" s="42" t="s">
        <v>105</v>
      </c>
      <c r="C286" s="44" t="s">
        <v>158</v>
      </c>
    </row>
    <row r="287" spans="1:16" ht="14.1" customHeight="1" x14ac:dyDescent="0.2">
      <c r="C287" s="4" t="str">
        <f>C281</f>
        <v>Debt Reserve</v>
      </c>
    </row>
    <row r="288" spans="1:16" ht="14.1" customHeight="1" x14ac:dyDescent="0.2">
      <c r="C288" s="4" t="str">
        <f>C282</f>
        <v>Treasury Fee</v>
      </c>
    </row>
    <row r="289" spans="1:3" ht="14.1" customHeight="1" thickBot="1" x14ac:dyDescent="0.25">
      <c r="C289" s="4" t="str">
        <f>C283</f>
        <v>Intercept</v>
      </c>
    </row>
    <row r="290" spans="1:3" ht="14.1" customHeight="1" thickBot="1" x14ac:dyDescent="0.25">
      <c r="C290" s="14" t="s">
        <v>94</v>
      </c>
    </row>
    <row r="291" spans="1:3" ht="14.1" customHeight="1" x14ac:dyDescent="0.2">
      <c r="C291" s="15"/>
    </row>
    <row r="292" spans="1:3" ht="14.1" customHeight="1" x14ac:dyDescent="0.25">
      <c r="A292" s="16"/>
      <c r="B292" s="9" t="s">
        <v>105</v>
      </c>
      <c r="C292" s="44" t="s">
        <v>95</v>
      </c>
    </row>
    <row r="293" spans="1:3" ht="14.1" customHeight="1" x14ac:dyDescent="0.2">
      <c r="C293" s="4" t="str">
        <f>C287</f>
        <v>Debt Reserve</v>
      </c>
    </row>
    <row r="294" spans="1:3" ht="14.1" customHeight="1" x14ac:dyDescent="0.2">
      <c r="C294" s="4" t="str">
        <f>C288</f>
        <v>Treasury Fee</v>
      </c>
    </row>
    <row r="295" spans="1:3" ht="14.1" customHeight="1" thickBot="1" x14ac:dyDescent="0.25">
      <c r="C295" s="4" t="str">
        <f>C289</f>
        <v>Intercept</v>
      </c>
    </row>
    <row r="296" spans="1:3" ht="14.1" customHeight="1" thickBot="1" x14ac:dyDescent="0.25">
      <c r="C296" s="14" t="s">
        <v>96</v>
      </c>
    </row>
    <row r="297" spans="1:3" ht="14.1" customHeight="1" x14ac:dyDescent="0.2">
      <c r="C297" s="15"/>
    </row>
    <row r="298" spans="1:3" ht="14.1" customHeight="1" x14ac:dyDescent="0.25">
      <c r="A298" s="16"/>
      <c r="B298" s="18" t="s">
        <v>104</v>
      </c>
      <c r="C298" s="19" t="s">
        <v>97</v>
      </c>
    </row>
    <row r="299" spans="1:3" ht="14.1" customHeight="1" x14ac:dyDescent="0.2">
      <c r="C299" s="4" t="str">
        <f>C293</f>
        <v>Debt Reserve</v>
      </c>
    </row>
    <row r="300" spans="1:3" ht="14.1" customHeight="1" x14ac:dyDescent="0.2">
      <c r="C300" s="4" t="str">
        <f>C294</f>
        <v>Treasury Fee</v>
      </c>
    </row>
    <row r="301" spans="1:3" ht="14.1" customHeight="1" thickBot="1" x14ac:dyDescent="0.25">
      <c r="C301" s="4" t="str">
        <f>C295</f>
        <v>Intercept</v>
      </c>
    </row>
    <row r="302" spans="1:3" ht="14.1" customHeight="1" thickBot="1" x14ac:dyDescent="0.25">
      <c r="C302" s="14" t="s">
        <v>98</v>
      </c>
    </row>
    <row r="303" spans="1:3" ht="14.1" customHeight="1" x14ac:dyDescent="0.2">
      <c r="C303" s="15"/>
    </row>
    <row r="304" spans="1:3" ht="14.1" customHeight="1" x14ac:dyDescent="0.25">
      <c r="A304" s="16"/>
      <c r="B304" s="9" t="s">
        <v>105</v>
      </c>
      <c r="C304" s="30" t="s">
        <v>99</v>
      </c>
    </row>
    <row r="305" spans="1:16" ht="14.1" customHeight="1" x14ac:dyDescent="0.2">
      <c r="C305" s="4" t="str">
        <f>C299</f>
        <v>Debt Reserve</v>
      </c>
    </row>
    <row r="306" spans="1:16" ht="14.1" customHeight="1" x14ac:dyDescent="0.2">
      <c r="C306" s="4" t="str">
        <f>C300</f>
        <v>Treasury Fee</v>
      </c>
    </row>
    <row r="307" spans="1:16" ht="14.1" customHeight="1" thickBot="1" x14ac:dyDescent="0.25">
      <c r="C307" s="4" t="str">
        <f>C301</f>
        <v>Intercept</v>
      </c>
    </row>
    <row r="308" spans="1:16" ht="14.1" customHeight="1" thickBot="1" x14ac:dyDescent="0.25">
      <c r="C308" s="6" t="s">
        <v>100</v>
      </c>
    </row>
    <row r="309" spans="1:16" ht="14.1" customHeight="1" x14ac:dyDescent="0.2">
      <c r="C309" s="15"/>
    </row>
    <row r="310" spans="1:16" ht="14.1" customHeight="1" x14ac:dyDescent="0.25">
      <c r="A310" s="16">
        <f>+A274+1</f>
        <v>9</v>
      </c>
      <c r="B310" s="33" t="s">
        <v>103</v>
      </c>
      <c r="C310" s="32" t="s">
        <v>101</v>
      </c>
    </row>
    <row r="311" spans="1:16" ht="14.1" customHeight="1" x14ac:dyDescent="0.2">
      <c r="C311" s="4" t="str">
        <f>C305</f>
        <v>Debt Reserve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39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f>SUM(D311:O311)</f>
        <v>0</v>
      </c>
    </row>
    <row r="312" spans="1:16" ht="14.1" customHeight="1" x14ac:dyDescent="0.2">
      <c r="C312" s="4" t="str">
        <f>C306</f>
        <v>Treasury Fee</v>
      </c>
      <c r="D312" s="47">
        <v>250</v>
      </c>
      <c r="E312" s="47"/>
      <c r="F312" s="47"/>
      <c r="G312" s="47"/>
      <c r="H312" s="47"/>
      <c r="I312" s="47"/>
      <c r="J312" s="47"/>
      <c r="K312" s="55"/>
      <c r="L312" s="47"/>
      <c r="M312" s="47"/>
      <c r="N312" s="47"/>
      <c r="O312" s="47"/>
      <c r="P312" s="26">
        <f>SUM(D312:O312)</f>
        <v>250</v>
      </c>
    </row>
    <row r="313" spans="1:16" ht="14.1" customHeight="1" thickBot="1" x14ac:dyDescent="0.25">
      <c r="C313" s="4" t="str">
        <f>C307</f>
        <v>Intercept</v>
      </c>
      <c r="D313" s="47">
        <f>16250+39515.63</f>
        <v>55765.63</v>
      </c>
      <c r="E313" s="47">
        <f t="shared" ref="E313:O313" si="16">16250+39515.63</f>
        <v>55765.63</v>
      </c>
      <c r="F313" s="47">
        <f t="shared" si="16"/>
        <v>55765.63</v>
      </c>
      <c r="G313" s="47">
        <f t="shared" si="16"/>
        <v>55765.63</v>
      </c>
      <c r="H313" s="47">
        <f t="shared" si="16"/>
        <v>55765.63</v>
      </c>
      <c r="I313" s="47">
        <f t="shared" si="16"/>
        <v>55765.63</v>
      </c>
      <c r="J313" s="47">
        <f t="shared" si="16"/>
        <v>55765.63</v>
      </c>
      <c r="K313" s="55">
        <f t="shared" si="16"/>
        <v>55765.63</v>
      </c>
      <c r="L313" s="47">
        <f t="shared" si="16"/>
        <v>55765.63</v>
      </c>
      <c r="M313" s="47">
        <f t="shared" si="16"/>
        <v>55765.63</v>
      </c>
      <c r="N313" s="47">
        <f t="shared" si="16"/>
        <v>55765.63</v>
      </c>
      <c r="O313" s="47">
        <f t="shared" si="16"/>
        <v>55765.63</v>
      </c>
      <c r="P313" s="26">
        <f>SUM(D313:O313)</f>
        <v>669187.55999999994</v>
      </c>
    </row>
    <row r="314" spans="1:16" ht="14.1" customHeight="1" thickBot="1" x14ac:dyDescent="0.25">
      <c r="C314" s="6" t="s">
        <v>102</v>
      </c>
      <c r="D314" s="27">
        <f t="shared" ref="D314:P314" si="17">SUM(D311:D313)</f>
        <v>56015.63</v>
      </c>
      <c r="E314" s="27">
        <f t="shared" si="17"/>
        <v>55765.63</v>
      </c>
      <c r="F314" s="27">
        <f t="shared" si="17"/>
        <v>55765.63</v>
      </c>
      <c r="G314" s="27">
        <f t="shared" si="17"/>
        <v>55765.63</v>
      </c>
      <c r="H314" s="27">
        <f t="shared" si="17"/>
        <v>55765.63</v>
      </c>
      <c r="I314" s="27">
        <f t="shared" si="17"/>
        <v>55765.63</v>
      </c>
      <c r="J314" s="27">
        <f t="shared" si="17"/>
        <v>55765.63</v>
      </c>
      <c r="K314" s="40">
        <f t="shared" si="17"/>
        <v>55765.63</v>
      </c>
      <c r="L314" s="27">
        <f t="shared" si="17"/>
        <v>55765.63</v>
      </c>
      <c r="M314" s="27">
        <f t="shared" si="17"/>
        <v>55765.63</v>
      </c>
      <c r="N314" s="27">
        <f t="shared" si="17"/>
        <v>55765.63</v>
      </c>
      <c r="O314" s="27">
        <f t="shared" si="17"/>
        <v>55765.63</v>
      </c>
      <c r="P314" s="27">
        <f t="shared" si="17"/>
        <v>669437.55999999994</v>
      </c>
    </row>
    <row r="315" spans="1:16" ht="14.1" customHeight="1" x14ac:dyDescent="0.2">
      <c r="C315" s="15"/>
    </row>
    <row r="316" spans="1:16" ht="14.1" customHeight="1" x14ac:dyDescent="0.25">
      <c r="A316" s="16"/>
      <c r="B316" s="9" t="s">
        <v>105</v>
      </c>
      <c r="C316" s="30" t="s">
        <v>106</v>
      </c>
    </row>
    <row r="317" spans="1:16" ht="14.1" customHeight="1" x14ac:dyDescent="0.2">
      <c r="C317" s="4" t="str">
        <f>C311</f>
        <v>Debt Reserve</v>
      </c>
    </row>
    <row r="318" spans="1:16" ht="14.1" customHeight="1" x14ac:dyDescent="0.2">
      <c r="C318" s="4" t="str">
        <f>C312</f>
        <v>Treasury Fee</v>
      </c>
    </row>
    <row r="319" spans="1:16" ht="14.1" customHeight="1" thickBot="1" x14ac:dyDescent="0.25">
      <c r="C319" s="4" t="str">
        <f>C313</f>
        <v>Intercept</v>
      </c>
    </row>
    <row r="320" spans="1:16" ht="14.1" customHeight="1" thickBot="1" x14ac:dyDescent="0.25">
      <c r="C320" s="6" t="s">
        <v>107</v>
      </c>
    </row>
    <row r="321" spans="1:3" ht="14.1" customHeight="1" x14ac:dyDescent="0.2">
      <c r="C321" s="12"/>
    </row>
    <row r="322" spans="1:3" ht="14.1" customHeight="1" x14ac:dyDescent="0.25">
      <c r="A322" s="16"/>
      <c r="B322" s="9" t="s">
        <v>105</v>
      </c>
      <c r="C322" s="10" t="s">
        <v>108</v>
      </c>
    </row>
    <row r="323" spans="1:3" ht="14.1" customHeight="1" x14ac:dyDescent="0.2">
      <c r="C323" s="4" t="str">
        <f>C317</f>
        <v>Debt Reserve</v>
      </c>
    </row>
    <row r="324" spans="1:3" ht="14.1" customHeight="1" x14ac:dyDescent="0.2">
      <c r="C324" s="4" t="str">
        <f>C318</f>
        <v>Treasury Fee</v>
      </c>
    </row>
    <row r="325" spans="1:3" ht="14.1" customHeight="1" thickBot="1" x14ac:dyDescent="0.25">
      <c r="C325" s="4" t="str">
        <f>C319</f>
        <v>Intercept</v>
      </c>
    </row>
    <row r="326" spans="1:3" ht="14.1" customHeight="1" thickBot="1" x14ac:dyDescent="0.25">
      <c r="C326" s="6" t="s">
        <v>109</v>
      </c>
    </row>
    <row r="327" spans="1:3" ht="14.1" customHeight="1" x14ac:dyDescent="0.2">
      <c r="C327" s="12"/>
    </row>
    <row r="328" spans="1:3" ht="14.1" customHeight="1" x14ac:dyDescent="0.25">
      <c r="A328" s="16"/>
      <c r="B328" s="9" t="s">
        <v>105</v>
      </c>
      <c r="C328" s="30" t="s">
        <v>110</v>
      </c>
    </row>
    <row r="329" spans="1:3" ht="14.1" customHeight="1" x14ac:dyDescent="0.2">
      <c r="C329" s="4" t="str">
        <f>C323</f>
        <v>Debt Reserve</v>
      </c>
    </row>
    <row r="330" spans="1:3" ht="14.1" customHeight="1" x14ac:dyDescent="0.2">
      <c r="C330" s="4" t="str">
        <f>C324</f>
        <v>Treasury Fee</v>
      </c>
    </row>
    <row r="331" spans="1:3" ht="14.1" customHeight="1" thickBot="1" x14ac:dyDescent="0.25">
      <c r="C331" s="4" t="str">
        <f>C325</f>
        <v>Intercept</v>
      </c>
    </row>
    <row r="332" spans="1:3" ht="14.1" customHeight="1" thickBot="1" x14ac:dyDescent="0.25">
      <c r="C332" s="6" t="s">
        <v>111</v>
      </c>
    </row>
    <row r="333" spans="1:3" ht="14.1" customHeight="1" x14ac:dyDescent="0.2">
      <c r="C333" s="12"/>
    </row>
    <row r="334" spans="1:3" ht="14.1" customHeight="1" x14ac:dyDescent="0.25">
      <c r="A334" s="16"/>
      <c r="B334" s="9" t="s">
        <v>105</v>
      </c>
      <c r="C334" s="30" t="s">
        <v>112</v>
      </c>
    </row>
    <row r="335" spans="1:3" ht="14.1" customHeight="1" x14ac:dyDescent="0.2">
      <c r="C335" s="4" t="str">
        <f>C329</f>
        <v>Debt Reserve</v>
      </c>
    </row>
    <row r="336" spans="1:3" ht="14.1" customHeight="1" x14ac:dyDescent="0.2">
      <c r="C336" s="4" t="str">
        <f>C330</f>
        <v>Treasury Fee</v>
      </c>
    </row>
    <row r="337" spans="1:16" ht="14.1" customHeight="1" thickBot="1" x14ac:dyDescent="0.25">
      <c r="C337" s="4" t="str">
        <f>C331</f>
        <v>Intercept</v>
      </c>
    </row>
    <row r="338" spans="1:16" ht="14.1" customHeight="1" thickBot="1" x14ac:dyDescent="0.25">
      <c r="C338" s="6" t="s">
        <v>113</v>
      </c>
    </row>
    <row r="339" spans="1:16" ht="14.1" customHeight="1" x14ac:dyDescent="0.2">
      <c r="C339" s="12"/>
    </row>
    <row r="340" spans="1:16" ht="14.1" customHeight="1" x14ac:dyDescent="0.25">
      <c r="A340" s="16">
        <f>+A310+1</f>
        <v>10</v>
      </c>
      <c r="B340" s="17"/>
      <c r="C340" s="5" t="s">
        <v>114</v>
      </c>
    </row>
    <row r="341" spans="1:16" ht="14.1" customHeight="1" x14ac:dyDescent="0.2">
      <c r="C341" s="4" t="str">
        <f>C335</f>
        <v>Debt Reserve</v>
      </c>
      <c r="D341" s="49">
        <v>512.08000000000004</v>
      </c>
      <c r="E341" s="49">
        <v>512.08000000000004</v>
      </c>
      <c r="F341" s="49">
        <v>512.08000000000004</v>
      </c>
      <c r="G341" s="49">
        <v>512.08000000000004</v>
      </c>
      <c r="H341" s="49">
        <v>512.08000000000004</v>
      </c>
      <c r="I341" s="49">
        <v>512.08000000000004</v>
      </c>
      <c r="J341" s="49">
        <v>512.08000000000004</v>
      </c>
      <c r="K341" s="56">
        <v>512.08000000000004</v>
      </c>
      <c r="L341" s="49">
        <v>512.08000000000004</v>
      </c>
      <c r="M341" s="49">
        <v>512.08000000000004</v>
      </c>
      <c r="N341" s="49">
        <v>512.08000000000004</v>
      </c>
      <c r="O341" s="49">
        <v>512.08000000000004</v>
      </c>
      <c r="P341" s="49">
        <f>SUM(D341:O341)</f>
        <v>6144.96</v>
      </c>
    </row>
    <row r="342" spans="1:16" ht="14.1" customHeight="1" x14ac:dyDescent="0.2">
      <c r="C342" s="4" t="str">
        <f>C336</f>
        <v>Treasury Fee</v>
      </c>
      <c r="D342" s="47">
        <v>250</v>
      </c>
      <c r="E342" s="47"/>
      <c r="F342" s="47"/>
      <c r="G342" s="47"/>
      <c r="H342" s="47"/>
      <c r="I342" s="47"/>
      <c r="J342" s="47"/>
      <c r="K342" s="55"/>
      <c r="L342" s="47"/>
      <c r="M342" s="47"/>
      <c r="N342" s="47"/>
      <c r="O342" s="47"/>
      <c r="P342" s="49">
        <f>SUM(D342:O342)</f>
        <v>250</v>
      </c>
    </row>
    <row r="343" spans="1:16" ht="14.1" customHeight="1" thickBot="1" x14ac:dyDescent="0.25">
      <c r="C343" s="4" t="str">
        <f>C337</f>
        <v>Intercept</v>
      </c>
      <c r="D343" s="47">
        <v>28804.69</v>
      </c>
      <c r="E343" s="47">
        <v>28804.69</v>
      </c>
      <c r="F343" s="47">
        <v>28804.69</v>
      </c>
      <c r="G343" s="47">
        <v>28804.69</v>
      </c>
      <c r="H343" s="47">
        <v>28804.69</v>
      </c>
      <c r="I343" s="47">
        <v>28804.69</v>
      </c>
      <c r="J343" s="47">
        <v>28804.69</v>
      </c>
      <c r="K343" s="55">
        <v>28804.69</v>
      </c>
      <c r="L343" s="47">
        <v>28804.69</v>
      </c>
      <c r="M343" s="47">
        <v>28804.69</v>
      </c>
      <c r="N343" s="47">
        <v>28804.69</v>
      </c>
      <c r="O343" s="47">
        <v>28804.69</v>
      </c>
      <c r="P343" s="49">
        <f>SUM(D343:O343)</f>
        <v>345656.27999999997</v>
      </c>
    </row>
    <row r="344" spans="1:16" ht="14.1" customHeight="1" thickBot="1" x14ac:dyDescent="0.25">
      <c r="C344" s="6" t="s">
        <v>26</v>
      </c>
      <c r="D344" s="50">
        <f t="shared" ref="D344:P344" si="18">SUM(D341:D343)</f>
        <v>29566.77</v>
      </c>
      <c r="E344" s="50">
        <f t="shared" si="18"/>
        <v>29316.77</v>
      </c>
      <c r="F344" s="50">
        <f t="shared" si="18"/>
        <v>29316.77</v>
      </c>
      <c r="G344" s="50">
        <f t="shared" si="18"/>
        <v>29316.77</v>
      </c>
      <c r="H344" s="50">
        <f t="shared" si="18"/>
        <v>29316.77</v>
      </c>
      <c r="I344" s="50">
        <f t="shared" si="18"/>
        <v>29316.77</v>
      </c>
      <c r="J344" s="50">
        <f t="shared" si="18"/>
        <v>29316.77</v>
      </c>
      <c r="K344" s="52">
        <f t="shared" si="18"/>
        <v>29316.77</v>
      </c>
      <c r="L344" s="50">
        <f t="shared" si="18"/>
        <v>29316.77</v>
      </c>
      <c r="M344" s="50">
        <f t="shared" si="18"/>
        <v>29316.77</v>
      </c>
      <c r="N344" s="50">
        <f t="shared" si="18"/>
        <v>29316.77</v>
      </c>
      <c r="O344" s="50">
        <f t="shared" si="18"/>
        <v>29316.77</v>
      </c>
      <c r="P344" s="50">
        <f t="shared" si="18"/>
        <v>352051.24</v>
      </c>
    </row>
    <row r="345" spans="1:16" ht="14.1" customHeight="1" x14ac:dyDescent="0.2">
      <c r="C345" s="12"/>
      <c r="D345" s="47"/>
      <c r="E345" s="47"/>
      <c r="F345" s="47"/>
      <c r="G345" s="47"/>
      <c r="H345" s="47"/>
      <c r="I345" s="47"/>
      <c r="J345" s="47"/>
      <c r="K345" s="55"/>
      <c r="L345" s="47"/>
      <c r="M345" s="47"/>
      <c r="N345" s="47"/>
      <c r="O345" s="47"/>
      <c r="P345" s="47"/>
    </row>
    <row r="346" spans="1:16" ht="14.1" customHeight="1" x14ac:dyDescent="0.25">
      <c r="A346" s="16"/>
      <c r="B346" s="9" t="s">
        <v>105</v>
      </c>
      <c r="C346" s="30" t="s">
        <v>115</v>
      </c>
    </row>
    <row r="347" spans="1:16" ht="14.1" customHeight="1" x14ac:dyDescent="0.2">
      <c r="C347" s="4" t="str">
        <f>C341</f>
        <v>Debt Reserve</v>
      </c>
    </row>
    <row r="348" spans="1:16" ht="14.1" customHeight="1" x14ac:dyDescent="0.2">
      <c r="C348" s="4" t="str">
        <f>C342</f>
        <v>Treasury Fee</v>
      </c>
    </row>
    <row r="349" spans="1:16" ht="14.1" customHeight="1" thickBot="1" x14ac:dyDescent="0.25">
      <c r="C349" s="4" t="str">
        <f>C343</f>
        <v>Intercept</v>
      </c>
    </row>
    <row r="350" spans="1:16" ht="14.1" customHeight="1" thickBot="1" x14ac:dyDescent="0.25">
      <c r="C350" s="6" t="s">
        <v>116</v>
      </c>
    </row>
    <row r="351" spans="1:16" ht="14.1" customHeight="1" x14ac:dyDescent="0.2">
      <c r="C351" s="12"/>
    </row>
    <row r="352" spans="1:16" ht="14.1" customHeight="1" x14ac:dyDescent="0.25">
      <c r="A352" s="16"/>
      <c r="B352" s="9" t="s">
        <v>105</v>
      </c>
      <c r="C352" s="30" t="s">
        <v>117</v>
      </c>
    </row>
    <row r="353" spans="1:16" ht="14.1" customHeight="1" x14ac:dyDescent="0.2">
      <c r="C353" s="4" t="str">
        <f>C347</f>
        <v>Debt Reserve</v>
      </c>
    </row>
    <row r="354" spans="1:16" ht="14.1" customHeight="1" x14ac:dyDescent="0.2">
      <c r="C354" s="4" t="str">
        <f>C348</f>
        <v>Treasury Fee</v>
      </c>
    </row>
    <row r="355" spans="1:16" ht="14.1" customHeight="1" thickBot="1" x14ac:dyDescent="0.25">
      <c r="C355" s="4" t="str">
        <f>C349</f>
        <v>Intercept</v>
      </c>
    </row>
    <row r="356" spans="1:16" ht="14.1" customHeight="1" thickBot="1" x14ac:dyDescent="0.25">
      <c r="C356" s="6" t="s">
        <v>118</v>
      </c>
    </row>
    <row r="357" spans="1:16" ht="14.1" customHeight="1" x14ac:dyDescent="0.2">
      <c r="C357" s="12"/>
    </row>
    <row r="358" spans="1:16" ht="14.1" customHeight="1" x14ac:dyDescent="0.25">
      <c r="A358" s="16"/>
      <c r="B358" s="9" t="s">
        <v>105</v>
      </c>
      <c r="C358" s="30" t="s">
        <v>119</v>
      </c>
    </row>
    <row r="359" spans="1:16" ht="14.1" customHeight="1" x14ac:dyDescent="0.2">
      <c r="C359" s="4" t="str">
        <f>C353</f>
        <v>Debt Reserve</v>
      </c>
    </row>
    <row r="360" spans="1:16" ht="14.1" customHeight="1" x14ac:dyDescent="0.2">
      <c r="C360" s="4" t="str">
        <f>C354</f>
        <v>Treasury Fee</v>
      </c>
    </row>
    <row r="361" spans="1:16" ht="14.1" customHeight="1" thickBot="1" x14ac:dyDescent="0.25">
      <c r="C361" s="4" t="str">
        <f>C355</f>
        <v>Intercept</v>
      </c>
    </row>
    <row r="362" spans="1:16" ht="14.1" customHeight="1" thickBot="1" x14ac:dyDescent="0.25">
      <c r="C362" s="6" t="s">
        <v>120</v>
      </c>
    </row>
    <row r="363" spans="1:16" ht="14.1" customHeight="1" x14ac:dyDescent="0.2">
      <c r="C363" s="12"/>
    </row>
    <row r="364" spans="1:16" ht="14.1" customHeight="1" x14ac:dyDescent="0.25">
      <c r="A364" s="16"/>
      <c r="B364" s="9" t="s">
        <v>105</v>
      </c>
      <c r="C364" s="30" t="s">
        <v>121</v>
      </c>
    </row>
    <row r="365" spans="1:16" ht="14.1" customHeight="1" x14ac:dyDescent="0.2">
      <c r="A365" s="20"/>
      <c r="B365" s="20"/>
      <c r="C365" s="4" t="str">
        <f>C359</f>
        <v>Debt Reserve</v>
      </c>
      <c r="D365" s="43"/>
      <c r="E365" s="43"/>
      <c r="F365" s="43"/>
      <c r="G365" s="43"/>
      <c r="H365" s="43"/>
      <c r="I365" s="43"/>
      <c r="J365" s="43"/>
      <c r="L365" s="43"/>
      <c r="M365" s="43"/>
      <c r="N365" s="43"/>
      <c r="O365" s="43"/>
      <c r="P365" s="43"/>
    </row>
    <row r="366" spans="1:16" ht="14.1" customHeight="1" x14ac:dyDescent="0.2">
      <c r="C366" s="4" t="str">
        <f>C360</f>
        <v>Treasury Fee</v>
      </c>
    </row>
    <row r="367" spans="1:16" ht="14.1" customHeight="1" thickBot="1" x14ac:dyDescent="0.25">
      <c r="C367" s="4" t="str">
        <f>C361</f>
        <v>Intercept</v>
      </c>
    </row>
    <row r="368" spans="1:16" ht="14.1" customHeight="1" thickBot="1" x14ac:dyDescent="0.25">
      <c r="C368" s="6" t="s">
        <v>122</v>
      </c>
    </row>
    <row r="369" spans="1:16" ht="14.1" customHeight="1" x14ac:dyDescent="0.2">
      <c r="C369" s="12"/>
    </row>
    <row r="370" spans="1:16" ht="14.1" customHeight="1" x14ac:dyDescent="0.25">
      <c r="A370" s="16"/>
      <c r="B370" s="9" t="s">
        <v>105</v>
      </c>
      <c r="C370" s="30" t="s">
        <v>123</v>
      </c>
    </row>
    <row r="371" spans="1:16" ht="14.1" customHeight="1" x14ac:dyDescent="0.2">
      <c r="A371" s="20"/>
      <c r="B371" s="20"/>
      <c r="C371" s="4" t="str">
        <f>C365</f>
        <v>Debt Reserve</v>
      </c>
      <c r="D371" s="43"/>
      <c r="E371" s="43"/>
      <c r="F371" s="43"/>
      <c r="G371" s="43"/>
      <c r="H371" s="43"/>
      <c r="I371" s="43"/>
      <c r="J371" s="43"/>
      <c r="L371" s="43"/>
      <c r="M371" s="43"/>
      <c r="N371" s="43"/>
      <c r="O371" s="43"/>
      <c r="P371" s="43"/>
    </row>
    <row r="372" spans="1:16" ht="14.1" customHeight="1" x14ac:dyDescent="0.2">
      <c r="C372" s="4" t="str">
        <f>C366</f>
        <v>Treasury Fee</v>
      </c>
    </row>
    <row r="373" spans="1:16" ht="14.1" customHeight="1" thickBot="1" x14ac:dyDescent="0.25">
      <c r="C373" s="4" t="str">
        <f>C367</f>
        <v>Intercept</v>
      </c>
    </row>
    <row r="374" spans="1:16" ht="14.1" customHeight="1" thickBot="1" x14ac:dyDescent="0.25">
      <c r="C374" s="6" t="s">
        <v>96</v>
      </c>
    </row>
    <row r="375" spans="1:16" ht="14.1" customHeight="1" x14ac:dyDescent="0.2">
      <c r="C375" s="12"/>
    </row>
    <row r="376" spans="1:16" ht="14.1" customHeight="1" x14ac:dyDescent="0.25">
      <c r="A376" s="16">
        <f>A340+1</f>
        <v>11</v>
      </c>
      <c r="B376" s="17"/>
      <c r="C376" s="5" t="s">
        <v>126</v>
      </c>
    </row>
    <row r="377" spans="1:16" ht="14.1" customHeight="1" x14ac:dyDescent="0.2">
      <c r="A377" s="20"/>
      <c r="B377" s="20"/>
      <c r="C377" s="4" t="str">
        <f>C371</f>
        <v>Debt Reserve</v>
      </c>
      <c r="D377" s="26">
        <v>565.41999999999996</v>
      </c>
      <c r="E377" s="26">
        <v>565.41999999999996</v>
      </c>
      <c r="F377" s="26">
        <v>565.41999999999996</v>
      </c>
      <c r="G377" s="51">
        <v>551.66999999999996</v>
      </c>
      <c r="H377" s="51">
        <v>551.66999999999996</v>
      </c>
      <c r="I377" s="51">
        <v>551.66999999999996</v>
      </c>
      <c r="J377" s="51">
        <v>551.66999999999996</v>
      </c>
      <c r="K377" s="55">
        <v>551.66999999999996</v>
      </c>
      <c r="L377" s="51">
        <v>551.66999999999996</v>
      </c>
      <c r="M377" s="51">
        <v>551.66999999999996</v>
      </c>
      <c r="N377" s="51">
        <v>551.66999999999996</v>
      </c>
      <c r="O377" s="51">
        <v>551.66999999999996</v>
      </c>
      <c r="P377" s="26">
        <f>SUM(D377:O377)</f>
        <v>6661.29</v>
      </c>
    </row>
    <row r="378" spans="1:16" ht="14.1" customHeight="1" x14ac:dyDescent="0.2">
      <c r="C378" s="4" t="str">
        <f>C372</f>
        <v>Treasury Fee</v>
      </c>
      <c r="D378" s="47">
        <v>250</v>
      </c>
      <c r="E378" s="47"/>
      <c r="F378" s="47"/>
      <c r="G378" s="47"/>
      <c r="H378" s="47"/>
      <c r="I378" s="47"/>
      <c r="J378" s="47"/>
      <c r="K378" s="55"/>
      <c r="L378" s="47"/>
      <c r="M378" s="47"/>
      <c r="N378" s="47"/>
      <c r="O378" s="47"/>
      <c r="P378" s="26">
        <f>SUM(D378:O378)</f>
        <v>250</v>
      </c>
    </row>
    <row r="379" spans="1:16" ht="14.1" customHeight="1" thickBot="1" x14ac:dyDescent="0.25">
      <c r="C379" s="4" t="str">
        <f>C373</f>
        <v>Intercept</v>
      </c>
      <c r="D379" s="47">
        <f>14583.33+26966.67</f>
        <v>41550</v>
      </c>
      <c r="E379" s="47">
        <f t="shared" ref="E379:O379" si="19">14583.33+26966.67</f>
        <v>41550</v>
      </c>
      <c r="F379" s="47">
        <f t="shared" si="19"/>
        <v>41550</v>
      </c>
      <c r="G379" s="47">
        <f t="shared" si="19"/>
        <v>41550</v>
      </c>
      <c r="H379" s="47">
        <f t="shared" si="19"/>
        <v>41550</v>
      </c>
      <c r="I379" s="47">
        <f t="shared" si="19"/>
        <v>41550</v>
      </c>
      <c r="J379" s="47">
        <f t="shared" si="19"/>
        <v>41550</v>
      </c>
      <c r="K379" s="55">
        <f t="shared" si="19"/>
        <v>41550</v>
      </c>
      <c r="L379" s="47">
        <f t="shared" si="19"/>
        <v>41550</v>
      </c>
      <c r="M379" s="47">
        <f t="shared" si="19"/>
        <v>41550</v>
      </c>
      <c r="N379" s="47">
        <f t="shared" si="19"/>
        <v>41550</v>
      </c>
      <c r="O379" s="47">
        <f t="shared" si="19"/>
        <v>41550</v>
      </c>
      <c r="P379" s="26">
        <f>SUM(D379:O379)</f>
        <v>498600</v>
      </c>
    </row>
    <row r="380" spans="1:16" ht="14.1" customHeight="1" thickBot="1" x14ac:dyDescent="0.25">
      <c r="C380" s="6" t="s">
        <v>127</v>
      </c>
      <c r="D380" s="27">
        <f t="shared" ref="D380:P380" si="20">SUM(D377:D379)</f>
        <v>42365.42</v>
      </c>
      <c r="E380" s="27">
        <f t="shared" si="20"/>
        <v>42115.42</v>
      </c>
      <c r="F380" s="27">
        <f t="shared" si="20"/>
        <v>42115.42</v>
      </c>
      <c r="G380" s="27">
        <f t="shared" si="20"/>
        <v>42101.67</v>
      </c>
      <c r="H380" s="27">
        <f t="shared" si="20"/>
        <v>42101.67</v>
      </c>
      <c r="I380" s="27">
        <f t="shared" si="20"/>
        <v>42101.67</v>
      </c>
      <c r="J380" s="27">
        <f t="shared" si="20"/>
        <v>42101.67</v>
      </c>
      <c r="K380" s="40">
        <f t="shared" si="20"/>
        <v>42101.67</v>
      </c>
      <c r="L380" s="27">
        <f t="shared" si="20"/>
        <v>42101.67</v>
      </c>
      <c r="M380" s="27">
        <f t="shared" si="20"/>
        <v>42101.67</v>
      </c>
      <c r="N380" s="27">
        <f t="shared" si="20"/>
        <v>42101.67</v>
      </c>
      <c r="O380" s="27">
        <f t="shared" si="20"/>
        <v>42101.67</v>
      </c>
      <c r="P380" s="27">
        <f t="shared" si="20"/>
        <v>505511.29</v>
      </c>
    </row>
    <row r="381" spans="1:16" ht="14.1" customHeight="1" x14ac:dyDescent="0.2">
      <c r="C381" s="12"/>
    </row>
    <row r="382" spans="1:16" ht="14.1" customHeight="1" x14ac:dyDescent="0.25">
      <c r="A382" s="16">
        <f>+A376+1</f>
        <v>12</v>
      </c>
      <c r="B382" s="33" t="s">
        <v>103</v>
      </c>
      <c r="C382" s="32" t="s">
        <v>128</v>
      </c>
    </row>
    <row r="383" spans="1:16" ht="14.1" customHeight="1" x14ac:dyDescent="0.2">
      <c r="A383" s="20"/>
      <c r="B383" s="20"/>
      <c r="C383" s="4" t="str">
        <f>C377</f>
        <v>Debt Reserve</v>
      </c>
      <c r="D383" s="26">
        <v>944.58</v>
      </c>
      <c r="E383" s="26">
        <v>944.58</v>
      </c>
      <c r="F383" s="26">
        <v>944.58</v>
      </c>
      <c r="G383" s="26">
        <v>944.58</v>
      </c>
      <c r="H383" s="26">
        <v>944.58</v>
      </c>
      <c r="I383" s="26">
        <v>944.58</v>
      </c>
      <c r="J383" s="51">
        <v>922.08</v>
      </c>
      <c r="K383" s="55">
        <v>922.08</v>
      </c>
      <c r="L383" s="51">
        <v>922.08</v>
      </c>
      <c r="M383" s="51">
        <v>922.08</v>
      </c>
      <c r="N383" s="51">
        <v>922.08</v>
      </c>
      <c r="O383" s="51">
        <v>922.08</v>
      </c>
      <c r="P383" s="26">
        <f>SUM(D383:O383)</f>
        <v>11199.960000000001</v>
      </c>
    </row>
    <row r="384" spans="1:16" ht="14.1" customHeight="1" x14ac:dyDescent="0.2">
      <c r="C384" s="4" t="str">
        <f>C378</f>
        <v>Treasury Fee</v>
      </c>
      <c r="D384" s="47">
        <v>250</v>
      </c>
      <c r="E384" s="47"/>
      <c r="F384" s="47"/>
      <c r="G384" s="47"/>
      <c r="H384" s="47"/>
      <c r="I384" s="47"/>
      <c r="J384" s="47"/>
      <c r="K384" s="55"/>
      <c r="L384" s="47"/>
      <c r="M384" s="47"/>
      <c r="N384" s="47"/>
      <c r="O384" s="47"/>
      <c r="P384" s="26">
        <f>SUM(D384:O384)</f>
        <v>250</v>
      </c>
    </row>
    <row r="385" spans="1:16" ht="14.1" customHeight="1" thickBot="1" x14ac:dyDescent="0.25">
      <c r="C385" s="4" t="str">
        <f>C379</f>
        <v>Intercept</v>
      </c>
      <c r="D385" s="47">
        <f>22500+47677.08</f>
        <v>70177.08</v>
      </c>
      <c r="E385" s="47">
        <f>22500+47677.08</f>
        <v>70177.08</v>
      </c>
      <c r="F385" s="47">
        <f>22500+47677.08</f>
        <v>70177.08</v>
      </c>
      <c r="G385" s="47">
        <f>22500+47677.08</f>
        <v>70177.08</v>
      </c>
      <c r="H385" s="47">
        <f>22500+47677.08</f>
        <v>70177.08</v>
      </c>
      <c r="I385" s="47">
        <f>23333.33+46692.71</f>
        <v>70026.040000000008</v>
      </c>
      <c r="J385" s="47">
        <f t="shared" ref="J385:O385" si="21">23333.33+46692.71</f>
        <v>70026.040000000008</v>
      </c>
      <c r="K385" s="55">
        <f t="shared" si="21"/>
        <v>70026.040000000008</v>
      </c>
      <c r="L385" s="47">
        <f t="shared" si="21"/>
        <v>70026.040000000008</v>
      </c>
      <c r="M385" s="47">
        <f t="shared" si="21"/>
        <v>70026.040000000008</v>
      </c>
      <c r="N385" s="47">
        <f t="shared" si="21"/>
        <v>70026.040000000008</v>
      </c>
      <c r="O385" s="47">
        <f t="shared" si="21"/>
        <v>70026.040000000008</v>
      </c>
      <c r="P385" s="26">
        <f>SUM(D385:O385)</f>
        <v>841067.68000000028</v>
      </c>
    </row>
    <row r="386" spans="1:16" ht="14.1" customHeight="1" thickBot="1" x14ac:dyDescent="0.25">
      <c r="C386" s="6" t="s">
        <v>129</v>
      </c>
      <c r="D386" s="27">
        <f t="shared" ref="D386:P386" si="22">SUM(D383:D385)</f>
        <v>71371.66</v>
      </c>
      <c r="E386" s="27">
        <f t="shared" si="22"/>
        <v>71121.66</v>
      </c>
      <c r="F386" s="27">
        <f t="shared" si="22"/>
        <v>71121.66</v>
      </c>
      <c r="G386" s="27">
        <f t="shared" si="22"/>
        <v>71121.66</v>
      </c>
      <c r="H386" s="27">
        <f t="shared" si="22"/>
        <v>71121.66</v>
      </c>
      <c r="I386" s="27">
        <f t="shared" si="22"/>
        <v>70970.62000000001</v>
      </c>
      <c r="J386" s="27">
        <f t="shared" si="22"/>
        <v>70948.12000000001</v>
      </c>
      <c r="K386" s="40">
        <f t="shared" si="22"/>
        <v>70948.12000000001</v>
      </c>
      <c r="L386" s="27">
        <f t="shared" si="22"/>
        <v>70948.12000000001</v>
      </c>
      <c r="M386" s="27">
        <f t="shared" si="22"/>
        <v>70948.12000000001</v>
      </c>
      <c r="N386" s="27">
        <f t="shared" si="22"/>
        <v>70948.12000000001</v>
      </c>
      <c r="O386" s="27">
        <f t="shared" si="22"/>
        <v>70948.12000000001</v>
      </c>
      <c r="P386" s="27">
        <f t="shared" si="22"/>
        <v>852517.64000000025</v>
      </c>
    </row>
    <row r="387" spans="1:16" ht="14.1" customHeight="1" x14ac:dyDescent="0.2">
      <c r="C387" s="12"/>
    </row>
    <row r="388" spans="1:16" ht="14.1" customHeight="1" x14ac:dyDescent="0.25">
      <c r="A388" s="16">
        <f>+A382+1</f>
        <v>13</v>
      </c>
      <c r="B388" s="33" t="s">
        <v>103</v>
      </c>
      <c r="C388" s="32" t="s">
        <v>130</v>
      </c>
    </row>
    <row r="389" spans="1:16" ht="14.1" customHeight="1" x14ac:dyDescent="0.2">
      <c r="A389" s="20"/>
      <c r="B389" s="20"/>
      <c r="C389" s="4" t="str">
        <f>C383</f>
        <v>Debt Reserve</v>
      </c>
      <c r="D389" s="26">
        <v>881.25</v>
      </c>
      <c r="E389" s="26">
        <v>881.25</v>
      </c>
      <c r="F389" s="26">
        <v>881.25</v>
      </c>
      <c r="G389" s="26">
        <v>881.25</v>
      </c>
      <c r="H389" s="26">
        <v>881.25</v>
      </c>
      <c r="I389" s="26">
        <v>881.25</v>
      </c>
      <c r="J389" s="26">
        <v>881.25</v>
      </c>
      <c r="K389" s="39">
        <v>881.25</v>
      </c>
      <c r="L389" s="51">
        <v>860.42</v>
      </c>
      <c r="M389" s="51">
        <v>860.42</v>
      </c>
      <c r="N389" s="51">
        <v>860.42</v>
      </c>
      <c r="O389" s="51">
        <v>860.42</v>
      </c>
      <c r="P389" s="26">
        <f>SUM(D389:O389)</f>
        <v>10491.68</v>
      </c>
    </row>
    <row r="390" spans="1:16" ht="14.1" customHeight="1" x14ac:dyDescent="0.2">
      <c r="C390" s="4" t="str">
        <f>C384</f>
        <v>Treasury Fee</v>
      </c>
      <c r="D390" s="47">
        <v>250</v>
      </c>
      <c r="E390" s="47"/>
      <c r="F390" s="47"/>
      <c r="G390" s="47"/>
      <c r="H390" s="47"/>
      <c r="I390" s="47"/>
      <c r="J390" s="47"/>
      <c r="K390" s="55"/>
      <c r="L390" s="47"/>
      <c r="M390" s="47"/>
      <c r="N390" s="47"/>
      <c r="O390" s="47"/>
      <c r="P390" s="26">
        <f>SUM(D390:O390)</f>
        <v>250</v>
      </c>
    </row>
    <row r="391" spans="1:16" ht="14.1" customHeight="1" thickBot="1" x14ac:dyDescent="0.25">
      <c r="C391" s="4" t="str">
        <f>C385</f>
        <v>Intercept</v>
      </c>
      <c r="D391" s="26">
        <f t="shared" ref="D391:K391" si="23">20833.33+46686.46</f>
        <v>67519.790000000008</v>
      </c>
      <c r="E391" s="26">
        <f t="shared" si="23"/>
        <v>67519.790000000008</v>
      </c>
      <c r="F391" s="26">
        <f t="shared" si="23"/>
        <v>67519.790000000008</v>
      </c>
      <c r="G391" s="26">
        <f t="shared" si="23"/>
        <v>67519.790000000008</v>
      </c>
      <c r="H391" s="26">
        <f t="shared" si="23"/>
        <v>67519.790000000008</v>
      </c>
      <c r="I391" s="26">
        <f t="shared" si="23"/>
        <v>67519.790000000008</v>
      </c>
      <c r="J391" s="26">
        <f t="shared" si="23"/>
        <v>67519.790000000008</v>
      </c>
      <c r="K391" s="39">
        <f t="shared" si="23"/>
        <v>67519.790000000008</v>
      </c>
      <c r="L391" s="47">
        <f>21666.67+45748.96</f>
        <v>67415.63</v>
      </c>
      <c r="M391" s="47">
        <f>21666.67+45748.96</f>
        <v>67415.63</v>
      </c>
      <c r="N391" s="47">
        <f>21666.67+45748.96</f>
        <v>67415.63</v>
      </c>
      <c r="O391" s="47">
        <f>21666.67+45748.96</f>
        <v>67415.63</v>
      </c>
      <c r="P391" s="26">
        <f>SUM(D391:O391)</f>
        <v>809820.8400000002</v>
      </c>
    </row>
    <row r="392" spans="1:16" ht="14.1" customHeight="1" thickBot="1" x14ac:dyDescent="0.25">
      <c r="C392" s="6" t="s">
        <v>131</v>
      </c>
      <c r="D392" s="27">
        <f t="shared" ref="D392:P392" si="24">SUM(D389:D391)</f>
        <v>68651.040000000008</v>
      </c>
      <c r="E392" s="27">
        <f t="shared" si="24"/>
        <v>68401.040000000008</v>
      </c>
      <c r="F392" s="27">
        <f t="shared" si="24"/>
        <v>68401.040000000008</v>
      </c>
      <c r="G392" s="27">
        <f t="shared" si="24"/>
        <v>68401.040000000008</v>
      </c>
      <c r="H392" s="27">
        <f t="shared" si="24"/>
        <v>68401.040000000008</v>
      </c>
      <c r="I392" s="27">
        <f t="shared" si="24"/>
        <v>68401.040000000008</v>
      </c>
      <c r="J392" s="27">
        <f t="shared" si="24"/>
        <v>68401.040000000008</v>
      </c>
      <c r="K392" s="40">
        <f t="shared" si="24"/>
        <v>68401.040000000008</v>
      </c>
      <c r="L392" s="27">
        <f t="shared" si="24"/>
        <v>68276.05</v>
      </c>
      <c r="M392" s="27">
        <f t="shared" si="24"/>
        <v>68276.05</v>
      </c>
      <c r="N392" s="27">
        <f t="shared" si="24"/>
        <v>68276.05</v>
      </c>
      <c r="O392" s="27">
        <f t="shared" si="24"/>
        <v>68276.05</v>
      </c>
      <c r="P392" s="27">
        <f t="shared" si="24"/>
        <v>820562.52000000025</v>
      </c>
    </row>
    <row r="393" spans="1:16" ht="14.1" customHeight="1" x14ac:dyDescent="0.2">
      <c r="C393" s="12"/>
    </row>
    <row r="394" spans="1:16" ht="14.1" customHeight="1" x14ac:dyDescent="0.25">
      <c r="A394" s="16">
        <f>+A388+1</f>
        <v>14</v>
      </c>
      <c r="B394" s="33" t="s">
        <v>103</v>
      </c>
      <c r="C394" s="32" t="s">
        <v>132</v>
      </c>
    </row>
    <row r="395" spans="1:16" ht="14.1" customHeight="1" x14ac:dyDescent="0.2">
      <c r="A395" s="20"/>
      <c r="B395" s="20"/>
      <c r="C395" s="4" t="str">
        <f>C389</f>
        <v>Debt Reserve</v>
      </c>
      <c r="D395" s="26">
        <v>529.16999999999996</v>
      </c>
      <c r="E395" s="26">
        <v>529.16999999999996</v>
      </c>
      <c r="F395" s="26">
        <v>529.16999999999996</v>
      </c>
      <c r="G395" s="26">
        <v>529.16999999999996</v>
      </c>
      <c r="H395" s="26">
        <v>529.16999999999996</v>
      </c>
      <c r="I395" s="26">
        <v>529.16999999999996</v>
      </c>
      <c r="J395" s="26">
        <v>529.16999999999996</v>
      </c>
      <c r="K395" s="39">
        <v>529.16999999999996</v>
      </c>
      <c r="L395" s="26">
        <v>529.16999999999996</v>
      </c>
      <c r="M395" s="26">
        <v>529.16999999999996</v>
      </c>
      <c r="N395" s="26">
        <v>529.16999999999996</v>
      </c>
      <c r="O395" s="51">
        <v>515.83000000000004</v>
      </c>
      <c r="P395" s="26">
        <f>SUM(D395:O395)</f>
        <v>6336.7</v>
      </c>
    </row>
    <row r="396" spans="1:16" ht="14.1" customHeight="1" x14ac:dyDescent="0.2">
      <c r="C396" s="4" t="str">
        <f>C390</f>
        <v>Treasury Fee</v>
      </c>
      <c r="D396" s="47">
        <v>250</v>
      </c>
      <c r="E396" s="47"/>
      <c r="F396" s="47"/>
      <c r="G396" s="47"/>
      <c r="H396" s="47"/>
      <c r="I396" s="47"/>
      <c r="J396" s="47"/>
      <c r="K396" s="55"/>
      <c r="L396" s="47"/>
      <c r="M396" s="47"/>
      <c r="N396" s="47"/>
      <c r="O396" s="47"/>
      <c r="P396" s="26">
        <f>SUM(D396:O396)</f>
        <v>250</v>
      </c>
    </row>
    <row r="397" spans="1:16" ht="14.1" customHeight="1" thickBot="1" x14ac:dyDescent="0.25">
      <c r="C397" s="4" t="str">
        <f>C391</f>
        <v>Intercept</v>
      </c>
      <c r="D397" s="47">
        <f>13333.33+28836.46</f>
        <v>42169.79</v>
      </c>
      <c r="E397" s="47">
        <f>13333.33+28836.46</f>
        <v>42169.79</v>
      </c>
      <c r="F397" s="47">
        <f t="shared" ref="F397:O397" si="25">13333.33+28836.46</f>
        <v>42169.79</v>
      </c>
      <c r="G397" s="47">
        <f t="shared" si="25"/>
        <v>42169.79</v>
      </c>
      <c r="H397" s="47">
        <f t="shared" si="25"/>
        <v>42169.79</v>
      </c>
      <c r="I397" s="47">
        <f t="shared" si="25"/>
        <v>42169.79</v>
      </c>
      <c r="J397" s="47">
        <f t="shared" si="25"/>
        <v>42169.79</v>
      </c>
      <c r="K397" s="55">
        <f t="shared" si="25"/>
        <v>42169.79</v>
      </c>
      <c r="L397" s="47">
        <f t="shared" si="25"/>
        <v>42169.79</v>
      </c>
      <c r="M397" s="47">
        <f t="shared" si="25"/>
        <v>42169.79</v>
      </c>
      <c r="N397" s="47">
        <f t="shared" si="25"/>
        <v>42169.79</v>
      </c>
      <c r="O397" s="47">
        <f t="shared" si="25"/>
        <v>42169.79</v>
      </c>
      <c r="P397" s="26">
        <f>SUM(D397:O397)</f>
        <v>506037.47999999992</v>
      </c>
    </row>
    <row r="398" spans="1:16" ht="14.1" customHeight="1" thickBot="1" x14ac:dyDescent="0.25">
      <c r="C398" s="6" t="s">
        <v>133</v>
      </c>
      <c r="D398" s="27">
        <f t="shared" ref="D398:P398" si="26">SUM(D395:D397)</f>
        <v>42948.959999999999</v>
      </c>
      <c r="E398" s="27">
        <f t="shared" si="26"/>
        <v>42698.96</v>
      </c>
      <c r="F398" s="27">
        <f t="shared" si="26"/>
        <v>42698.96</v>
      </c>
      <c r="G398" s="27">
        <f t="shared" si="26"/>
        <v>42698.96</v>
      </c>
      <c r="H398" s="27">
        <f t="shared" si="26"/>
        <v>42698.96</v>
      </c>
      <c r="I398" s="27">
        <f t="shared" si="26"/>
        <v>42698.96</v>
      </c>
      <c r="J398" s="27">
        <f t="shared" si="26"/>
        <v>42698.96</v>
      </c>
      <c r="K398" s="40">
        <f t="shared" si="26"/>
        <v>42698.96</v>
      </c>
      <c r="L398" s="27">
        <f t="shared" si="26"/>
        <v>42698.96</v>
      </c>
      <c r="M398" s="27">
        <f t="shared" si="26"/>
        <v>42698.96</v>
      </c>
      <c r="N398" s="27">
        <f t="shared" si="26"/>
        <v>42698.96</v>
      </c>
      <c r="O398" s="27">
        <f t="shared" si="26"/>
        <v>42685.62</v>
      </c>
      <c r="P398" s="27">
        <f t="shared" si="26"/>
        <v>512624.17999999993</v>
      </c>
    </row>
    <row r="399" spans="1:16" ht="14.1" customHeight="1" x14ac:dyDescent="0.2">
      <c r="C399" s="12"/>
    </row>
    <row r="400" spans="1:16" ht="14.1" customHeight="1" x14ac:dyDescent="0.25">
      <c r="A400" s="16"/>
      <c r="B400" s="9" t="s">
        <v>105</v>
      </c>
      <c r="C400" s="30" t="s">
        <v>135</v>
      </c>
    </row>
    <row r="401" spans="1:16" ht="14.1" customHeight="1" x14ac:dyDescent="0.2">
      <c r="A401" s="20"/>
      <c r="B401" s="20"/>
      <c r="C401" s="4" t="str">
        <f>C395</f>
        <v>Debt Reserve</v>
      </c>
      <c r="D401" s="51">
        <v>477.08</v>
      </c>
      <c r="E401" s="51">
        <v>477.08</v>
      </c>
      <c r="F401" s="51">
        <v>477.08</v>
      </c>
      <c r="G401" s="51"/>
      <c r="H401" s="51"/>
      <c r="I401" s="51"/>
      <c r="J401" s="51"/>
      <c r="K401" s="55"/>
      <c r="L401" s="51"/>
      <c r="M401" s="51"/>
      <c r="N401" s="51"/>
      <c r="O401" s="51"/>
      <c r="P401" s="26">
        <f>SUM(D401:O401)</f>
        <v>1431.24</v>
      </c>
    </row>
    <row r="402" spans="1:16" ht="14.1" customHeight="1" x14ac:dyDescent="0.2">
      <c r="C402" s="4" t="str">
        <f>C396</f>
        <v>Treasury Fee</v>
      </c>
      <c r="D402" s="47">
        <v>250</v>
      </c>
      <c r="E402" s="47"/>
      <c r="F402" s="47"/>
      <c r="G402" s="47"/>
      <c r="H402" s="47"/>
      <c r="I402" s="47"/>
      <c r="J402" s="47"/>
      <c r="K402" s="55"/>
      <c r="L402" s="47"/>
      <c r="M402" s="47"/>
      <c r="N402" s="47"/>
      <c r="O402" s="47"/>
      <c r="P402" s="26">
        <f>SUM(D402:O402)</f>
        <v>250</v>
      </c>
    </row>
    <row r="403" spans="1:16" ht="14.1" customHeight="1" thickBot="1" x14ac:dyDescent="0.25">
      <c r="C403" s="4" t="str">
        <f>C397</f>
        <v>Intercept</v>
      </c>
      <c r="D403" s="47">
        <f>10833.33+27275.52</f>
        <v>38108.85</v>
      </c>
      <c r="E403" s="47">
        <f>10833.33+27275.52</f>
        <v>38108.85</v>
      </c>
      <c r="F403" s="47">
        <f>10833.33+27275.52</f>
        <v>38108.85</v>
      </c>
      <c r="G403" s="47"/>
      <c r="H403" s="47"/>
      <c r="I403" s="47"/>
      <c r="J403" s="47"/>
      <c r="K403" s="55"/>
      <c r="L403" s="47"/>
      <c r="M403" s="47"/>
      <c r="N403" s="47"/>
      <c r="O403" s="47"/>
      <c r="P403" s="26">
        <f>SUM(D403:O403)</f>
        <v>114326.54999999999</v>
      </c>
    </row>
    <row r="404" spans="1:16" ht="14.1" customHeight="1" thickBot="1" x14ac:dyDescent="0.25">
      <c r="C404" s="6" t="s">
        <v>136</v>
      </c>
      <c r="D404" s="27">
        <f t="shared" ref="D404:P404" si="27">SUM(D401:D403)</f>
        <v>38835.93</v>
      </c>
      <c r="E404" s="27">
        <f t="shared" si="27"/>
        <v>38585.93</v>
      </c>
      <c r="F404" s="27">
        <f t="shared" si="27"/>
        <v>38585.93</v>
      </c>
      <c r="G404" s="27">
        <f t="shared" si="27"/>
        <v>0</v>
      </c>
      <c r="H404" s="27">
        <f t="shared" si="27"/>
        <v>0</v>
      </c>
      <c r="I404" s="27">
        <f t="shared" si="27"/>
        <v>0</v>
      </c>
      <c r="J404" s="27">
        <f t="shared" si="27"/>
        <v>0</v>
      </c>
      <c r="K404" s="40">
        <f t="shared" si="27"/>
        <v>0</v>
      </c>
      <c r="L404" s="27">
        <f t="shared" si="27"/>
        <v>0</v>
      </c>
      <c r="M404" s="27">
        <f t="shared" si="27"/>
        <v>0</v>
      </c>
      <c r="N404" s="27">
        <f t="shared" si="27"/>
        <v>0</v>
      </c>
      <c r="O404" s="27">
        <f t="shared" si="27"/>
        <v>0</v>
      </c>
      <c r="P404" s="27">
        <f t="shared" si="27"/>
        <v>116007.79</v>
      </c>
    </row>
    <row r="405" spans="1:16" ht="14.1" customHeight="1" x14ac:dyDescent="0.2">
      <c r="C405" s="12"/>
    </row>
    <row r="406" spans="1:16" ht="14.1" customHeight="1" x14ac:dyDescent="0.25">
      <c r="A406" s="16"/>
      <c r="B406" s="9" t="s">
        <v>105</v>
      </c>
      <c r="C406" s="30" t="s">
        <v>139</v>
      </c>
    </row>
    <row r="407" spans="1:16" ht="14.1" customHeight="1" x14ac:dyDescent="0.2">
      <c r="A407" s="20"/>
      <c r="B407" s="20"/>
      <c r="C407" s="4" t="str">
        <f>C401</f>
        <v>Debt Reserve</v>
      </c>
      <c r="D407" s="43"/>
      <c r="E407" s="43"/>
      <c r="F407" s="43"/>
      <c r="G407" s="43"/>
      <c r="H407" s="43"/>
      <c r="I407" s="43"/>
      <c r="J407" s="43"/>
      <c r="L407" s="43"/>
      <c r="M407" s="43"/>
      <c r="N407" s="43"/>
      <c r="O407" s="43"/>
      <c r="P407" s="43"/>
    </row>
    <row r="408" spans="1:16" ht="14.1" customHeight="1" x14ac:dyDescent="0.2">
      <c r="C408" s="4" t="str">
        <f>C402</f>
        <v>Treasury Fee</v>
      </c>
    </row>
    <row r="409" spans="1:16" ht="14.1" customHeight="1" thickBot="1" x14ac:dyDescent="0.25">
      <c r="C409" s="4" t="str">
        <f>C403</f>
        <v>Intercept</v>
      </c>
    </row>
    <row r="410" spans="1:16" ht="14.1" customHeight="1" thickBot="1" x14ac:dyDescent="0.25">
      <c r="C410" s="6" t="s">
        <v>138</v>
      </c>
    </row>
    <row r="411" spans="1:16" ht="14.1" customHeight="1" x14ac:dyDescent="0.2">
      <c r="C411" s="12"/>
    </row>
    <row r="412" spans="1:16" ht="14.1" customHeight="1" x14ac:dyDescent="0.25">
      <c r="A412" s="16">
        <f>+A394+1</f>
        <v>15</v>
      </c>
      <c r="B412" s="21"/>
      <c r="C412" s="5" t="s">
        <v>140</v>
      </c>
    </row>
    <row r="413" spans="1:16" ht="14.1" customHeight="1" x14ac:dyDescent="0.2">
      <c r="A413" s="20"/>
      <c r="B413" s="20"/>
      <c r="C413" s="4" t="str">
        <f>C407</f>
        <v>Debt Reserve</v>
      </c>
      <c r="D413" s="26">
        <v>369.58</v>
      </c>
      <c r="E413" s="26">
        <v>369.58</v>
      </c>
      <c r="F413" s="26">
        <v>369.58</v>
      </c>
      <c r="G413" s="26">
        <v>369.58</v>
      </c>
      <c r="H413" s="26">
        <v>369.58</v>
      </c>
      <c r="I413" s="26">
        <v>369.58</v>
      </c>
      <c r="J413" s="26">
        <v>369.58</v>
      </c>
      <c r="K413" s="39">
        <v>369.58</v>
      </c>
      <c r="L413" s="26">
        <v>369.58</v>
      </c>
      <c r="M413" s="26">
        <v>369.58</v>
      </c>
      <c r="N413" s="26">
        <v>369.58</v>
      </c>
      <c r="O413" s="26">
        <v>369.58</v>
      </c>
      <c r="P413" s="49">
        <f>SUM(D413:O413)</f>
        <v>4434.96</v>
      </c>
    </row>
    <row r="414" spans="1:16" ht="14.1" customHeight="1" x14ac:dyDescent="0.2">
      <c r="C414" s="4" t="str">
        <f>C408</f>
        <v>Treasury Fee</v>
      </c>
      <c r="D414" s="47">
        <v>250</v>
      </c>
      <c r="E414" s="47"/>
      <c r="F414" s="47"/>
      <c r="G414" s="47"/>
      <c r="H414" s="47"/>
      <c r="I414" s="47"/>
      <c r="J414" s="47"/>
      <c r="K414" s="55"/>
      <c r="L414" s="47"/>
      <c r="M414" s="47"/>
      <c r="N414" s="47"/>
      <c r="O414" s="47"/>
      <c r="P414" s="49">
        <f>SUM(D414:O414)</f>
        <v>250</v>
      </c>
    </row>
    <row r="415" spans="1:16" ht="14.1" customHeight="1" thickBot="1" x14ac:dyDescent="0.25">
      <c r="C415" s="4" t="str">
        <f>C409</f>
        <v>Intercept</v>
      </c>
      <c r="D415" s="47">
        <f>12916.67+52127.61</f>
        <v>65044.28</v>
      </c>
      <c r="E415" s="47">
        <f>12916.67+52127.61</f>
        <v>65044.28</v>
      </c>
      <c r="F415" s="47">
        <f>12916.67+52127.61</f>
        <v>65044.28</v>
      </c>
      <c r="G415" s="47">
        <f>13333.33+51336.46</f>
        <v>64669.79</v>
      </c>
      <c r="H415" s="47">
        <f t="shared" ref="H415:O415" si="28">13333.33+51336.46</f>
        <v>64669.79</v>
      </c>
      <c r="I415" s="47">
        <f t="shared" si="28"/>
        <v>64669.79</v>
      </c>
      <c r="J415" s="47">
        <f t="shared" si="28"/>
        <v>64669.79</v>
      </c>
      <c r="K415" s="55">
        <f t="shared" si="28"/>
        <v>64669.79</v>
      </c>
      <c r="L415" s="47">
        <f t="shared" si="28"/>
        <v>64669.79</v>
      </c>
      <c r="M415" s="47">
        <f t="shared" si="28"/>
        <v>64669.79</v>
      </c>
      <c r="N415" s="47">
        <f t="shared" si="28"/>
        <v>64669.79</v>
      </c>
      <c r="O415" s="47">
        <f t="shared" si="28"/>
        <v>64669.79</v>
      </c>
      <c r="P415" s="49">
        <f>SUM(D415:O415)</f>
        <v>777160.95000000007</v>
      </c>
    </row>
    <row r="416" spans="1:16" ht="14.1" customHeight="1" thickBot="1" x14ac:dyDescent="0.25">
      <c r="C416" s="6" t="s">
        <v>141</v>
      </c>
      <c r="D416" s="50">
        <f t="shared" ref="D416:P416" si="29">SUM(D413:D415)</f>
        <v>65663.86</v>
      </c>
      <c r="E416" s="50">
        <f t="shared" si="29"/>
        <v>65413.86</v>
      </c>
      <c r="F416" s="50">
        <f t="shared" si="29"/>
        <v>65413.86</v>
      </c>
      <c r="G416" s="50">
        <f t="shared" si="29"/>
        <v>65039.37</v>
      </c>
      <c r="H416" s="50">
        <f t="shared" si="29"/>
        <v>65039.37</v>
      </c>
      <c r="I416" s="50">
        <f t="shared" si="29"/>
        <v>65039.37</v>
      </c>
      <c r="J416" s="50">
        <f t="shared" si="29"/>
        <v>65039.37</v>
      </c>
      <c r="K416" s="52">
        <f t="shared" si="29"/>
        <v>65039.37</v>
      </c>
      <c r="L416" s="50">
        <f t="shared" si="29"/>
        <v>65039.37</v>
      </c>
      <c r="M416" s="50">
        <f t="shared" si="29"/>
        <v>65039.37</v>
      </c>
      <c r="N416" s="50">
        <f t="shared" si="29"/>
        <v>65039.37</v>
      </c>
      <c r="O416" s="50">
        <f t="shared" si="29"/>
        <v>65039.37</v>
      </c>
      <c r="P416" s="50">
        <f t="shared" si="29"/>
        <v>781845.91</v>
      </c>
    </row>
    <row r="417" spans="1:16" ht="14.1" customHeight="1" x14ac:dyDescent="0.2">
      <c r="C417" s="12"/>
    </row>
    <row r="418" spans="1:16" ht="14.1" customHeight="1" x14ac:dyDescent="0.25">
      <c r="A418" s="16"/>
      <c r="B418" s="42" t="s">
        <v>105</v>
      </c>
      <c r="C418" s="30" t="s">
        <v>142</v>
      </c>
    </row>
    <row r="419" spans="1:16" ht="14.1" customHeight="1" x14ac:dyDescent="0.2">
      <c r="A419" s="20"/>
      <c r="B419" s="20"/>
      <c r="C419" s="4" t="str">
        <f>C413</f>
        <v>Debt Reserve</v>
      </c>
      <c r="D419" s="26">
        <v>0</v>
      </c>
      <c r="E419" s="26">
        <v>0</v>
      </c>
      <c r="F419" s="26">
        <v>0</v>
      </c>
      <c r="G419" s="26">
        <v>0</v>
      </c>
      <c r="H419" s="26"/>
      <c r="I419" s="26"/>
      <c r="J419" s="26"/>
      <c r="K419" s="39"/>
      <c r="L419" s="26"/>
      <c r="M419" s="26"/>
      <c r="N419" s="26"/>
      <c r="O419" s="26"/>
      <c r="P419" s="26">
        <f>SUM(D419:O419)</f>
        <v>0</v>
      </c>
    </row>
    <row r="420" spans="1:16" ht="14.1" customHeight="1" x14ac:dyDescent="0.2">
      <c r="C420" s="4" t="str">
        <f>C414</f>
        <v>Treasury Fee</v>
      </c>
      <c r="D420" s="47">
        <v>250</v>
      </c>
      <c r="E420" s="47"/>
      <c r="F420" s="47"/>
      <c r="G420" s="47"/>
      <c r="H420" s="47"/>
      <c r="I420" s="47"/>
      <c r="J420" s="47"/>
      <c r="K420" s="55"/>
      <c r="L420" s="47"/>
      <c r="M420" s="47"/>
      <c r="N420" s="47"/>
      <c r="O420" s="47"/>
      <c r="P420" s="26">
        <f>SUM(D420:O420)</f>
        <v>250</v>
      </c>
    </row>
    <row r="421" spans="1:16" ht="14.1" customHeight="1" thickBot="1" x14ac:dyDescent="0.25">
      <c r="C421" s="4" t="str">
        <f>C415</f>
        <v>Intercept</v>
      </c>
      <c r="D421" s="26">
        <f>10416.67+58750</f>
        <v>69166.67</v>
      </c>
      <c r="E421" s="26">
        <f>10416.67+58750</f>
        <v>69166.67</v>
      </c>
      <c r="F421" s="26">
        <f>10416.67+58750</f>
        <v>69166.67</v>
      </c>
      <c r="G421" s="26">
        <f>10416.67+58750</f>
        <v>69166.67</v>
      </c>
      <c r="H421" s="26"/>
      <c r="I421" s="26"/>
      <c r="J421" s="26"/>
      <c r="K421" s="39"/>
      <c r="L421" s="26"/>
      <c r="M421" s="26"/>
      <c r="N421" s="26"/>
      <c r="O421" s="47"/>
      <c r="P421" s="26">
        <f>SUM(D421:O421)</f>
        <v>276666.68</v>
      </c>
    </row>
    <row r="422" spans="1:16" ht="14.1" customHeight="1" thickBot="1" x14ac:dyDescent="0.25">
      <c r="C422" s="6" t="s">
        <v>143</v>
      </c>
      <c r="D422" s="27">
        <f t="shared" ref="D422:P422" si="30">SUM(D419:D421)</f>
        <v>69416.67</v>
      </c>
      <c r="E422" s="27">
        <f t="shared" si="30"/>
        <v>69166.67</v>
      </c>
      <c r="F422" s="27">
        <f t="shared" si="30"/>
        <v>69166.67</v>
      </c>
      <c r="G422" s="27">
        <f t="shared" si="30"/>
        <v>69166.67</v>
      </c>
      <c r="H422" s="27">
        <f t="shared" si="30"/>
        <v>0</v>
      </c>
      <c r="I422" s="27">
        <f t="shared" si="30"/>
        <v>0</v>
      </c>
      <c r="J422" s="27">
        <f t="shared" si="30"/>
        <v>0</v>
      </c>
      <c r="K422" s="40">
        <f t="shared" si="30"/>
        <v>0</v>
      </c>
      <c r="L422" s="27">
        <f t="shared" si="30"/>
        <v>0</v>
      </c>
      <c r="M422" s="27">
        <f t="shared" si="30"/>
        <v>0</v>
      </c>
      <c r="N422" s="27">
        <f t="shared" si="30"/>
        <v>0</v>
      </c>
      <c r="O422" s="27">
        <f t="shared" si="30"/>
        <v>0</v>
      </c>
      <c r="P422" s="27">
        <f t="shared" si="30"/>
        <v>276916.68</v>
      </c>
    </row>
    <row r="423" spans="1:16" ht="14.1" customHeight="1" x14ac:dyDescent="0.2">
      <c r="C423" s="12"/>
    </row>
    <row r="424" spans="1:16" ht="14.1" customHeight="1" x14ac:dyDescent="0.25">
      <c r="A424" s="16"/>
      <c r="B424" s="42" t="s">
        <v>105</v>
      </c>
      <c r="C424" s="30" t="s">
        <v>144</v>
      </c>
    </row>
    <row r="425" spans="1:16" ht="14.1" customHeight="1" x14ac:dyDescent="0.2">
      <c r="A425" s="20"/>
      <c r="B425" s="20"/>
      <c r="C425" s="4" t="str">
        <f>C419</f>
        <v>Debt Reserve</v>
      </c>
      <c r="D425" s="26">
        <v>0</v>
      </c>
      <c r="E425" s="26">
        <v>0</v>
      </c>
      <c r="F425" s="26">
        <v>0</v>
      </c>
      <c r="G425" s="26">
        <v>0</v>
      </c>
      <c r="H425" s="26"/>
      <c r="I425" s="26"/>
      <c r="J425" s="26"/>
      <c r="K425" s="39"/>
      <c r="L425" s="26"/>
      <c r="M425" s="26"/>
      <c r="N425" s="26"/>
      <c r="O425" s="26"/>
      <c r="P425" s="26">
        <f>SUM(D425:O425)</f>
        <v>0</v>
      </c>
    </row>
    <row r="426" spans="1:16" ht="14.1" customHeight="1" x14ac:dyDescent="0.2">
      <c r="C426" s="4" t="str">
        <f>C420</f>
        <v>Treasury Fee</v>
      </c>
      <c r="D426" s="47">
        <v>250</v>
      </c>
      <c r="E426" s="47"/>
      <c r="F426" s="47"/>
      <c r="G426" s="47"/>
      <c r="H426" s="47"/>
      <c r="I426" s="47"/>
      <c r="J426" s="47"/>
      <c r="K426" s="55"/>
      <c r="L426" s="47"/>
      <c r="M426" s="47"/>
      <c r="N426" s="47"/>
      <c r="O426" s="47"/>
      <c r="P426" s="26">
        <f>SUM(D426:O426)</f>
        <v>250</v>
      </c>
    </row>
    <row r="427" spans="1:16" ht="14.1" customHeight="1" thickBot="1" x14ac:dyDescent="0.25">
      <c r="C427" s="4" t="str">
        <f>C421</f>
        <v>Intercept</v>
      </c>
      <c r="D427" s="26">
        <f>10833.33+46670.31</f>
        <v>57503.64</v>
      </c>
      <c r="E427" s="26">
        <f>10833.33+46670.31</f>
        <v>57503.64</v>
      </c>
      <c r="F427" s="26">
        <f>10833.33+46670.31</f>
        <v>57503.64</v>
      </c>
      <c r="G427" s="26">
        <f>10833.33+46670.31</f>
        <v>57503.64</v>
      </c>
      <c r="H427" s="26"/>
      <c r="I427" s="47"/>
      <c r="J427" s="47"/>
      <c r="K427" s="55"/>
      <c r="L427" s="47"/>
      <c r="M427" s="47"/>
      <c r="N427" s="47"/>
      <c r="O427" s="47"/>
      <c r="P427" s="26">
        <f>SUM(D427:O427)</f>
        <v>230014.56</v>
      </c>
    </row>
    <row r="428" spans="1:16" ht="14.1" customHeight="1" thickBot="1" x14ac:dyDescent="0.25">
      <c r="C428" s="6" t="s">
        <v>145</v>
      </c>
      <c r="D428" s="27">
        <f t="shared" ref="D428:P428" si="31">SUM(D425:D427)</f>
        <v>57753.64</v>
      </c>
      <c r="E428" s="27">
        <f t="shared" si="31"/>
        <v>57503.64</v>
      </c>
      <c r="F428" s="27">
        <f t="shared" si="31"/>
        <v>57503.64</v>
      </c>
      <c r="G428" s="27">
        <f t="shared" si="31"/>
        <v>57503.64</v>
      </c>
      <c r="H428" s="27">
        <f t="shared" si="31"/>
        <v>0</v>
      </c>
      <c r="I428" s="27">
        <f t="shared" si="31"/>
        <v>0</v>
      </c>
      <c r="J428" s="27">
        <f t="shared" si="31"/>
        <v>0</v>
      </c>
      <c r="K428" s="40">
        <f t="shared" si="31"/>
        <v>0</v>
      </c>
      <c r="L428" s="27">
        <f t="shared" si="31"/>
        <v>0</v>
      </c>
      <c r="M428" s="27">
        <f t="shared" si="31"/>
        <v>0</v>
      </c>
      <c r="N428" s="27">
        <f t="shared" si="31"/>
        <v>0</v>
      </c>
      <c r="O428" s="27">
        <f t="shared" si="31"/>
        <v>0</v>
      </c>
      <c r="P428" s="27">
        <f t="shared" si="31"/>
        <v>230264.56</v>
      </c>
    </row>
    <row r="429" spans="1:16" ht="14.1" customHeight="1" x14ac:dyDescent="0.2">
      <c r="C429" s="12"/>
    </row>
    <row r="430" spans="1:16" ht="14.1" customHeight="1" x14ac:dyDescent="0.25">
      <c r="A430" s="16">
        <f>+A412+1</f>
        <v>16</v>
      </c>
      <c r="B430" s="21"/>
      <c r="C430" s="5" t="s">
        <v>146</v>
      </c>
    </row>
    <row r="431" spans="1:16" ht="14.1" customHeight="1" x14ac:dyDescent="0.2">
      <c r="A431" s="20"/>
      <c r="B431" s="20"/>
      <c r="C431" s="4" t="str">
        <f>C425</f>
        <v>Debt Reserve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39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f>SUM(D431:O431)</f>
        <v>0</v>
      </c>
    </row>
    <row r="432" spans="1:16" ht="14.1" customHeight="1" x14ac:dyDescent="0.2">
      <c r="C432" s="4" t="str">
        <f>C426</f>
        <v>Treasury Fee</v>
      </c>
      <c r="D432" s="47">
        <v>250</v>
      </c>
      <c r="E432" s="47"/>
      <c r="F432" s="47"/>
      <c r="G432" s="47"/>
      <c r="H432" s="47"/>
      <c r="I432" s="47"/>
      <c r="J432" s="47"/>
      <c r="K432" s="55"/>
      <c r="L432" s="47"/>
      <c r="M432" s="47"/>
      <c r="N432" s="47"/>
      <c r="O432" s="47"/>
      <c r="P432" s="26">
        <f>SUM(D432:O432)</f>
        <v>250</v>
      </c>
    </row>
    <row r="433" spans="1:16" ht="14.1" customHeight="1" thickBot="1" x14ac:dyDescent="0.25">
      <c r="C433" s="4" t="str">
        <f>C427</f>
        <v>Intercept</v>
      </c>
      <c r="D433" s="26">
        <f>10416.67+48750</f>
        <v>59166.67</v>
      </c>
      <c r="E433" s="26">
        <f>10416.67+48750</f>
        <v>59166.67</v>
      </c>
      <c r="F433" s="26">
        <f>10416.67+48750</f>
        <v>59166.67</v>
      </c>
      <c r="G433" s="26">
        <f>10416.67+48750</f>
        <v>59166.67</v>
      </c>
      <c r="H433" s="26">
        <f>10416.67+48750</f>
        <v>59166.67</v>
      </c>
      <c r="I433" s="47">
        <f>11250+47968.75</f>
        <v>59218.75</v>
      </c>
      <c r="J433" s="47">
        <f t="shared" ref="J433:O433" si="32">11250+47968.75</f>
        <v>59218.75</v>
      </c>
      <c r="K433" s="55">
        <f t="shared" si="32"/>
        <v>59218.75</v>
      </c>
      <c r="L433" s="47">
        <f t="shared" si="32"/>
        <v>59218.75</v>
      </c>
      <c r="M433" s="47">
        <f t="shared" si="32"/>
        <v>59218.75</v>
      </c>
      <c r="N433" s="47">
        <f t="shared" si="32"/>
        <v>59218.75</v>
      </c>
      <c r="O433" s="47">
        <f t="shared" si="32"/>
        <v>59218.75</v>
      </c>
      <c r="P433" s="26">
        <f>SUM(D433:O433)</f>
        <v>710364.6</v>
      </c>
    </row>
    <row r="434" spans="1:16" ht="14.1" customHeight="1" thickBot="1" x14ac:dyDescent="0.25">
      <c r="C434" s="6" t="s">
        <v>147</v>
      </c>
      <c r="D434" s="27">
        <f t="shared" ref="D434:P434" si="33">SUM(D431:D433)</f>
        <v>59416.67</v>
      </c>
      <c r="E434" s="27">
        <f t="shared" si="33"/>
        <v>59166.67</v>
      </c>
      <c r="F434" s="27">
        <f t="shared" si="33"/>
        <v>59166.67</v>
      </c>
      <c r="G434" s="27">
        <f t="shared" si="33"/>
        <v>59166.67</v>
      </c>
      <c r="H434" s="27">
        <f t="shared" si="33"/>
        <v>59166.67</v>
      </c>
      <c r="I434" s="27">
        <f t="shared" si="33"/>
        <v>59218.75</v>
      </c>
      <c r="J434" s="27">
        <f t="shared" si="33"/>
        <v>59218.75</v>
      </c>
      <c r="K434" s="40">
        <f t="shared" si="33"/>
        <v>59218.75</v>
      </c>
      <c r="L434" s="27">
        <f t="shared" si="33"/>
        <v>59218.75</v>
      </c>
      <c r="M434" s="27">
        <f t="shared" si="33"/>
        <v>59218.75</v>
      </c>
      <c r="N434" s="27">
        <f t="shared" si="33"/>
        <v>59218.75</v>
      </c>
      <c r="O434" s="27">
        <f t="shared" si="33"/>
        <v>59218.75</v>
      </c>
      <c r="P434" s="27">
        <f t="shared" si="33"/>
        <v>710614.6</v>
      </c>
    </row>
    <row r="435" spans="1:16" ht="14.1" customHeight="1" x14ac:dyDescent="0.2">
      <c r="C435" s="12"/>
    </row>
    <row r="436" spans="1:16" ht="14.1" customHeight="1" x14ac:dyDescent="0.25">
      <c r="A436" s="16">
        <f>+A430+1</f>
        <v>17</v>
      </c>
      <c r="B436" s="21"/>
      <c r="C436" s="5" t="s">
        <v>148</v>
      </c>
    </row>
    <row r="437" spans="1:16" ht="14.1" customHeight="1" x14ac:dyDescent="0.2">
      <c r="A437" s="20"/>
      <c r="B437" s="20"/>
      <c r="C437" s="4" t="str">
        <f>C431</f>
        <v>Debt Reserve</v>
      </c>
      <c r="D437" s="26">
        <v>387.5</v>
      </c>
      <c r="E437" s="26">
        <v>387.5</v>
      </c>
      <c r="F437" s="26">
        <v>387.5</v>
      </c>
      <c r="G437" s="26">
        <v>387.5</v>
      </c>
      <c r="H437" s="51">
        <v>380</v>
      </c>
      <c r="I437" s="51">
        <v>380</v>
      </c>
      <c r="J437" s="51">
        <v>380</v>
      </c>
      <c r="K437" s="55">
        <v>380</v>
      </c>
      <c r="L437" s="51">
        <v>380</v>
      </c>
      <c r="M437" s="51">
        <v>380</v>
      </c>
      <c r="N437" s="51">
        <v>380</v>
      </c>
      <c r="O437" s="51">
        <v>380</v>
      </c>
      <c r="P437" s="26">
        <f>SUM(D437:O437)</f>
        <v>4590</v>
      </c>
    </row>
    <row r="438" spans="1:16" ht="14.1" customHeight="1" x14ac:dyDescent="0.2">
      <c r="C438" s="4" t="str">
        <f>C432</f>
        <v>Treasury Fee</v>
      </c>
      <c r="D438" s="47">
        <v>250</v>
      </c>
      <c r="E438" s="47"/>
      <c r="F438" s="47"/>
      <c r="G438" s="47"/>
      <c r="H438" s="47"/>
      <c r="I438" s="47"/>
      <c r="J438" s="47"/>
      <c r="K438" s="55"/>
      <c r="L438" s="47"/>
      <c r="M438" s="47"/>
      <c r="N438" s="47"/>
      <c r="O438" s="47"/>
      <c r="P438" s="26">
        <f>SUM(D438:O438)</f>
        <v>250</v>
      </c>
    </row>
    <row r="439" spans="1:16" ht="14.1" customHeight="1" thickBot="1" x14ac:dyDescent="0.25">
      <c r="C439" s="4" t="str">
        <f>C433</f>
        <v>Intercept</v>
      </c>
      <c r="D439" s="47">
        <f>11250+25627.08</f>
        <v>36877.08</v>
      </c>
      <c r="E439" s="47">
        <f>11250+25627.08</f>
        <v>36877.08</v>
      </c>
      <c r="F439" s="47">
        <f>11250+25627.08</f>
        <v>36877.08</v>
      </c>
      <c r="G439" s="47">
        <f>11250+25627.1</f>
        <v>36877.1</v>
      </c>
      <c r="H439" s="47">
        <v>32936.06</v>
      </c>
      <c r="I439" s="47">
        <v>32936.06</v>
      </c>
      <c r="J439" s="47">
        <v>32936.06</v>
      </c>
      <c r="K439" s="55">
        <v>32936.06</v>
      </c>
      <c r="L439" s="47">
        <v>32936.06</v>
      </c>
      <c r="M439" s="47">
        <v>32936.06</v>
      </c>
      <c r="N439" s="47">
        <v>35402.46</v>
      </c>
      <c r="O439" s="47">
        <v>35402.46</v>
      </c>
      <c r="P439" s="26">
        <f>SUM(D439:O439)</f>
        <v>415929.62</v>
      </c>
    </row>
    <row r="440" spans="1:16" ht="14.1" customHeight="1" thickBot="1" x14ac:dyDescent="0.25">
      <c r="C440" s="6" t="s">
        <v>109</v>
      </c>
      <c r="D440" s="27">
        <f t="shared" ref="D440:P440" si="34">SUM(D437:D439)</f>
        <v>37514.58</v>
      </c>
      <c r="E440" s="27">
        <f t="shared" si="34"/>
        <v>37264.58</v>
      </c>
      <c r="F440" s="27">
        <f t="shared" si="34"/>
        <v>37264.58</v>
      </c>
      <c r="G440" s="27">
        <f t="shared" si="34"/>
        <v>37264.6</v>
      </c>
      <c r="H440" s="27">
        <f t="shared" si="34"/>
        <v>33316.06</v>
      </c>
      <c r="I440" s="27">
        <f t="shared" si="34"/>
        <v>33316.06</v>
      </c>
      <c r="J440" s="27">
        <f t="shared" si="34"/>
        <v>33316.06</v>
      </c>
      <c r="K440" s="40">
        <f t="shared" si="34"/>
        <v>33316.06</v>
      </c>
      <c r="L440" s="27">
        <f t="shared" si="34"/>
        <v>33316.06</v>
      </c>
      <c r="M440" s="27">
        <f t="shared" si="34"/>
        <v>33316.06</v>
      </c>
      <c r="N440" s="27">
        <f t="shared" si="34"/>
        <v>35782.46</v>
      </c>
      <c r="O440" s="27">
        <f t="shared" si="34"/>
        <v>35782.46</v>
      </c>
      <c r="P440" s="27">
        <f t="shared" si="34"/>
        <v>420769.62</v>
      </c>
    </row>
    <row r="441" spans="1:16" ht="14.1" customHeight="1" x14ac:dyDescent="0.2">
      <c r="C441" s="12"/>
    </row>
    <row r="442" spans="1:16" ht="14.1" customHeight="1" x14ac:dyDescent="0.25">
      <c r="A442" s="16">
        <f>+A436+1</f>
        <v>18</v>
      </c>
      <c r="B442" s="21"/>
      <c r="C442" s="5" t="s">
        <v>149</v>
      </c>
    </row>
    <row r="443" spans="1:16" ht="14.1" customHeight="1" x14ac:dyDescent="0.2">
      <c r="A443" s="20"/>
      <c r="B443" s="20"/>
      <c r="C443" s="4" t="str">
        <f>C437</f>
        <v>Debt Reserve</v>
      </c>
      <c r="D443" s="26">
        <v>209.58</v>
      </c>
      <c r="E443" s="26">
        <v>209.58</v>
      </c>
      <c r="F443" s="26">
        <v>209.58</v>
      </c>
      <c r="G443" s="26">
        <v>209.58</v>
      </c>
      <c r="H443" s="26">
        <v>209.58</v>
      </c>
      <c r="I443" s="26">
        <v>209.58</v>
      </c>
      <c r="J443" s="26">
        <v>209.58</v>
      </c>
      <c r="K443" s="39">
        <v>209.58</v>
      </c>
      <c r="L443" s="26">
        <v>209.58</v>
      </c>
      <c r="M443" s="26">
        <v>209.58</v>
      </c>
      <c r="N443" s="26">
        <v>209.58</v>
      </c>
      <c r="O443" s="26">
        <v>209.58</v>
      </c>
      <c r="P443" s="26">
        <f>SUM(D443:O443)</f>
        <v>2514.9599999999996</v>
      </c>
    </row>
    <row r="444" spans="1:16" ht="14.1" customHeight="1" x14ac:dyDescent="0.2">
      <c r="C444" s="4" t="str">
        <f>C438</f>
        <v>Treasury Fee</v>
      </c>
      <c r="D444" s="47">
        <v>250</v>
      </c>
      <c r="E444" s="47"/>
      <c r="F444" s="47"/>
      <c r="G444" s="47"/>
      <c r="H444" s="47"/>
      <c r="I444" s="47"/>
      <c r="J444" s="47"/>
      <c r="K444" s="55"/>
      <c r="L444" s="47"/>
      <c r="M444" s="47"/>
      <c r="N444" s="47"/>
      <c r="O444" s="47"/>
      <c r="P444" s="26">
        <f>SUM(D444:O444)</f>
        <v>250</v>
      </c>
    </row>
    <row r="445" spans="1:16" ht="14.1" customHeight="1" thickBot="1" x14ac:dyDescent="0.25">
      <c r="C445" s="4" t="str">
        <f>C439</f>
        <v>Intercept</v>
      </c>
      <c r="D445" s="26">
        <f t="shared" ref="D445:K445" si="35">5000+25589.06</f>
        <v>30589.06</v>
      </c>
      <c r="E445" s="26">
        <f t="shared" si="35"/>
        <v>30589.06</v>
      </c>
      <c r="F445" s="26">
        <f t="shared" si="35"/>
        <v>30589.06</v>
      </c>
      <c r="G445" s="26">
        <f t="shared" si="35"/>
        <v>30589.06</v>
      </c>
      <c r="H445" s="26">
        <f t="shared" si="35"/>
        <v>30589.06</v>
      </c>
      <c r="I445" s="26">
        <f t="shared" si="35"/>
        <v>30589.06</v>
      </c>
      <c r="J445" s="26">
        <f t="shared" si="35"/>
        <v>30589.06</v>
      </c>
      <c r="K445" s="39">
        <f t="shared" si="35"/>
        <v>30589.06</v>
      </c>
      <c r="L445" s="47">
        <f>5416.67+25214.06</f>
        <v>30630.730000000003</v>
      </c>
      <c r="M445" s="47">
        <f>5416.67+25214.06</f>
        <v>30630.730000000003</v>
      </c>
      <c r="N445" s="47">
        <f>5416.67+25214.06</f>
        <v>30630.730000000003</v>
      </c>
      <c r="O445" s="47">
        <f>5416.67+25214.06</f>
        <v>30630.730000000003</v>
      </c>
      <c r="P445" s="26">
        <f>SUM(D445:O445)</f>
        <v>367235.39999999997</v>
      </c>
    </row>
    <row r="446" spans="1:16" ht="14.1" customHeight="1" thickBot="1" x14ac:dyDescent="0.25">
      <c r="C446" s="6" t="s">
        <v>120</v>
      </c>
      <c r="D446" s="27">
        <f t="shared" ref="D446:P446" si="36">SUM(D443:D445)</f>
        <v>31048.640000000003</v>
      </c>
      <c r="E446" s="27">
        <f t="shared" si="36"/>
        <v>30798.640000000003</v>
      </c>
      <c r="F446" s="27">
        <f t="shared" si="36"/>
        <v>30798.640000000003</v>
      </c>
      <c r="G446" s="27">
        <f t="shared" si="36"/>
        <v>30798.640000000003</v>
      </c>
      <c r="H446" s="27">
        <f t="shared" si="36"/>
        <v>30798.640000000003</v>
      </c>
      <c r="I446" s="27">
        <f t="shared" si="36"/>
        <v>30798.640000000003</v>
      </c>
      <c r="J446" s="27">
        <f t="shared" si="36"/>
        <v>30798.640000000003</v>
      </c>
      <c r="K446" s="40">
        <f t="shared" si="36"/>
        <v>30798.640000000003</v>
      </c>
      <c r="L446" s="27">
        <f t="shared" si="36"/>
        <v>30840.310000000005</v>
      </c>
      <c r="M446" s="27">
        <f t="shared" si="36"/>
        <v>30840.310000000005</v>
      </c>
      <c r="N446" s="27">
        <f t="shared" si="36"/>
        <v>30840.310000000005</v>
      </c>
      <c r="O446" s="27">
        <f t="shared" si="36"/>
        <v>30840.310000000005</v>
      </c>
      <c r="P446" s="27">
        <f t="shared" si="36"/>
        <v>370000.36</v>
      </c>
    </row>
    <row r="447" spans="1:16" ht="14.1" customHeight="1" x14ac:dyDescent="0.2">
      <c r="C447" s="12"/>
    </row>
    <row r="448" spans="1:16" ht="14.1" customHeight="1" x14ac:dyDescent="0.25">
      <c r="A448" s="16"/>
      <c r="B448" s="42" t="s">
        <v>105</v>
      </c>
      <c r="C448" s="30" t="s">
        <v>150</v>
      </c>
    </row>
    <row r="449" spans="1:16" ht="14.1" customHeight="1" x14ac:dyDescent="0.2">
      <c r="A449" s="20"/>
      <c r="B449" s="20"/>
      <c r="C449" s="4" t="str">
        <f>C443</f>
        <v>Debt Reserve</v>
      </c>
      <c r="D449" s="43"/>
      <c r="E449" s="43"/>
      <c r="F449" s="43"/>
      <c r="G449" s="43"/>
      <c r="H449" s="43"/>
      <c r="I449" s="43"/>
      <c r="J449" s="43"/>
      <c r="L449" s="43"/>
      <c r="M449" s="43"/>
      <c r="N449" s="43"/>
      <c r="O449" s="43"/>
      <c r="P449" s="43"/>
    </row>
    <row r="450" spans="1:16" ht="14.1" customHeight="1" x14ac:dyDescent="0.2">
      <c r="C450" s="4" t="str">
        <f>C444</f>
        <v>Treasury Fee</v>
      </c>
    </row>
    <row r="451" spans="1:16" ht="14.1" customHeight="1" thickBot="1" x14ac:dyDescent="0.25">
      <c r="C451" s="4" t="str">
        <f>C445</f>
        <v>Intercept</v>
      </c>
    </row>
    <row r="452" spans="1:16" ht="14.1" customHeight="1" thickBot="1" x14ac:dyDescent="0.25">
      <c r="C452" s="6" t="s">
        <v>151</v>
      </c>
    </row>
    <row r="453" spans="1:16" ht="14.1" customHeight="1" x14ac:dyDescent="0.2">
      <c r="C453" s="12"/>
    </row>
    <row r="454" spans="1:16" ht="14.1" customHeight="1" x14ac:dyDescent="0.25">
      <c r="A454" s="16"/>
      <c r="B454" s="42" t="s">
        <v>105</v>
      </c>
      <c r="C454" s="30" t="s">
        <v>152</v>
      </c>
    </row>
    <row r="455" spans="1:16" ht="14.1" customHeight="1" x14ac:dyDescent="0.2">
      <c r="A455" s="20"/>
      <c r="B455" s="20"/>
      <c r="C455" s="4" t="str">
        <f>C449</f>
        <v>Debt Reserve</v>
      </c>
      <c r="D455" s="43"/>
      <c r="E455" s="43"/>
      <c r="F455" s="43"/>
      <c r="G455" s="43"/>
      <c r="H455" s="43"/>
      <c r="I455" s="43"/>
      <c r="J455" s="43"/>
      <c r="L455" s="43"/>
      <c r="M455" s="43"/>
      <c r="N455" s="43"/>
      <c r="O455" s="43"/>
      <c r="P455" s="43"/>
    </row>
    <row r="456" spans="1:16" ht="14.1" customHeight="1" x14ac:dyDescent="0.2">
      <c r="C456" s="4" t="str">
        <f>C450</f>
        <v>Treasury Fee</v>
      </c>
    </row>
    <row r="457" spans="1:16" ht="14.1" customHeight="1" thickBot="1" x14ac:dyDescent="0.25">
      <c r="C457" s="4" t="str">
        <f>C451</f>
        <v>Intercept</v>
      </c>
    </row>
    <row r="458" spans="1:16" ht="14.1" customHeight="1" thickBot="1" x14ac:dyDescent="0.25">
      <c r="C458" s="6" t="s">
        <v>75</v>
      </c>
    </row>
    <row r="459" spans="1:16" ht="14.1" customHeight="1" x14ac:dyDescent="0.2">
      <c r="C459" s="12"/>
    </row>
    <row r="460" spans="1:16" ht="14.1" customHeight="1" x14ac:dyDescent="0.25">
      <c r="A460" s="48">
        <f>+A442+1</f>
        <v>19</v>
      </c>
      <c r="B460" s="21"/>
      <c r="C460" s="5" t="s">
        <v>153</v>
      </c>
      <c r="D460" s="43"/>
      <c r="E460" s="43"/>
      <c r="F460" s="43"/>
      <c r="G460" s="43"/>
      <c r="H460" s="43"/>
      <c r="I460" s="43"/>
      <c r="J460" s="43"/>
      <c r="L460" s="43"/>
      <c r="M460" s="43"/>
      <c r="N460" s="43"/>
      <c r="O460" s="43"/>
      <c r="P460" s="43"/>
    </row>
    <row r="461" spans="1:16" ht="14.1" customHeight="1" x14ac:dyDescent="0.2">
      <c r="A461" s="20"/>
      <c r="B461" s="20"/>
      <c r="C461" s="4" t="str">
        <f>C455</f>
        <v>Debt Reserve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39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f>SUM(D461:O461)</f>
        <v>0</v>
      </c>
    </row>
    <row r="462" spans="1:16" ht="14.1" customHeight="1" x14ac:dyDescent="0.2">
      <c r="C462" s="4" t="str">
        <f>C456</f>
        <v>Treasury Fee</v>
      </c>
      <c r="D462" s="47">
        <v>250</v>
      </c>
      <c r="E462" s="47"/>
      <c r="F462" s="47"/>
      <c r="G462" s="47"/>
      <c r="H462" s="47"/>
      <c r="I462" s="47"/>
      <c r="J462" s="47"/>
      <c r="K462" s="55"/>
      <c r="L462" s="47"/>
      <c r="M462" s="47"/>
      <c r="N462" s="47"/>
      <c r="O462" s="47"/>
      <c r="P462" s="26">
        <f>SUM(D462:O462)</f>
        <v>250</v>
      </c>
    </row>
    <row r="463" spans="1:16" ht="14.1" customHeight="1" thickBot="1" x14ac:dyDescent="0.25">
      <c r="C463" s="4" t="str">
        <f>C457</f>
        <v>Intercept</v>
      </c>
      <c r="D463" s="26">
        <f t="shared" ref="D463:K463" si="37">12916.67+10040.63</f>
        <v>22957.3</v>
      </c>
      <c r="E463" s="26">
        <f t="shared" si="37"/>
        <v>22957.3</v>
      </c>
      <c r="F463" s="26">
        <f t="shared" si="37"/>
        <v>22957.3</v>
      </c>
      <c r="G463" s="26">
        <f t="shared" si="37"/>
        <v>22957.3</v>
      </c>
      <c r="H463" s="26">
        <f t="shared" si="37"/>
        <v>22957.3</v>
      </c>
      <c r="I463" s="26">
        <f t="shared" si="37"/>
        <v>22957.3</v>
      </c>
      <c r="J463" s="26">
        <f t="shared" si="37"/>
        <v>22957.3</v>
      </c>
      <c r="K463" s="39">
        <f t="shared" si="37"/>
        <v>22957.3</v>
      </c>
      <c r="L463" s="47">
        <f>13333.33+9523.96</f>
        <v>22857.29</v>
      </c>
      <c r="M463" s="47">
        <f>13333.33+9523.96</f>
        <v>22857.29</v>
      </c>
      <c r="N463" s="47">
        <f>13333.33+9523.96</f>
        <v>22857.29</v>
      </c>
      <c r="O463" s="47">
        <f>13333.33+9523.96</f>
        <v>22857.29</v>
      </c>
      <c r="P463" s="26">
        <f>SUM(D463:O463)</f>
        <v>275087.56</v>
      </c>
    </row>
    <row r="464" spans="1:16" ht="14.1" customHeight="1" thickBot="1" x14ac:dyDescent="0.25">
      <c r="C464" s="6" t="s">
        <v>154</v>
      </c>
      <c r="D464" s="27">
        <f t="shared" ref="D464:P464" si="38">SUM(D461:D463)</f>
        <v>23207.3</v>
      </c>
      <c r="E464" s="27">
        <f t="shared" si="38"/>
        <v>22957.3</v>
      </c>
      <c r="F464" s="27">
        <f t="shared" si="38"/>
        <v>22957.3</v>
      </c>
      <c r="G464" s="27">
        <f t="shared" si="38"/>
        <v>22957.3</v>
      </c>
      <c r="H464" s="27">
        <f t="shared" si="38"/>
        <v>22957.3</v>
      </c>
      <c r="I464" s="27">
        <f t="shared" si="38"/>
        <v>22957.3</v>
      </c>
      <c r="J464" s="27">
        <f t="shared" si="38"/>
        <v>22957.3</v>
      </c>
      <c r="K464" s="40">
        <f t="shared" si="38"/>
        <v>22957.3</v>
      </c>
      <c r="L464" s="27">
        <f t="shared" si="38"/>
        <v>22857.29</v>
      </c>
      <c r="M464" s="27">
        <f t="shared" si="38"/>
        <v>22857.29</v>
      </c>
      <c r="N464" s="27">
        <f t="shared" si="38"/>
        <v>22857.29</v>
      </c>
      <c r="O464" s="27">
        <f t="shared" si="38"/>
        <v>22857.29</v>
      </c>
      <c r="P464" s="27">
        <f t="shared" si="38"/>
        <v>275337.56</v>
      </c>
    </row>
    <row r="465" spans="1:16" ht="14.1" customHeight="1" x14ac:dyDescent="0.2">
      <c r="C465" s="12"/>
    </row>
    <row r="466" spans="1:16" ht="14.1" customHeight="1" x14ac:dyDescent="0.25">
      <c r="A466" s="16"/>
      <c r="B466" s="42" t="s">
        <v>105</v>
      </c>
      <c r="C466" s="30" t="s">
        <v>155</v>
      </c>
    </row>
    <row r="467" spans="1:16" ht="14.1" customHeight="1" x14ac:dyDescent="0.2">
      <c r="A467" s="20"/>
      <c r="B467" s="20"/>
      <c r="C467" s="4" t="str">
        <f>C461</f>
        <v>Debt Reserve</v>
      </c>
      <c r="D467" s="43"/>
      <c r="E467" s="43"/>
      <c r="F467" s="43"/>
      <c r="G467" s="43"/>
      <c r="H467" s="43"/>
      <c r="I467" s="43"/>
      <c r="J467" s="43"/>
      <c r="L467" s="43"/>
      <c r="M467" s="43"/>
      <c r="N467" s="43"/>
      <c r="O467" s="43"/>
      <c r="P467" s="43"/>
    </row>
    <row r="468" spans="1:16" ht="14.1" customHeight="1" x14ac:dyDescent="0.2">
      <c r="C468" s="4" t="str">
        <f>C462</f>
        <v>Treasury Fee</v>
      </c>
    </row>
    <row r="469" spans="1:16" ht="14.1" customHeight="1" thickBot="1" x14ac:dyDescent="0.25">
      <c r="C469" s="4" t="str">
        <f>C463</f>
        <v>Intercept</v>
      </c>
    </row>
    <row r="470" spans="1:16" ht="14.1" customHeight="1" thickBot="1" x14ac:dyDescent="0.25">
      <c r="C470" s="6" t="s">
        <v>156</v>
      </c>
    </row>
    <row r="471" spans="1:16" ht="14.1" customHeight="1" x14ac:dyDescent="0.2">
      <c r="C471" s="12"/>
    </row>
    <row r="472" spans="1:16" ht="14.1" customHeight="1" x14ac:dyDescent="0.25">
      <c r="A472" s="16"/>
      <c r="B472" s="42" t="s">
        <v>105</v>
      </c>
      <c r="C472" s="30" t="s">
        <v>180</v>
      </c>
    </row>
    <row r="473" spans="1:16" ht="14.1" customHeight="1" x14ac:dyDescent="0.2">
      <c r="A473" s="20"/>
      <c r="B473" s="20"/>
      <c r="C473" s="4" t="str">
        <f>C467</f>
        <v>Debt Reserve</v>
      </c>
      <c r="D473" s="43"/>
      <c r="E473" s="43"/>
      <c r="F473" s="43"/>
      <c r="G473" s="43"/>
      <c r="H473" s="43"/>
      <c r="I473" s="43"/>
      <c r="J473" s="43"/>
      <c r="L473" s="43"/>
      <c r="M473" s="43"/>
      <c r="N473" s="43"/>
      <c r="O473" s="43"/>
      <c r="P473" s="43"/>
    </row>
    <row r="474" spans="1:16" ht="14.1" customHeight="1" x14ac:dyDescent="0.2">
      <c r="C474" s="4" t="str">
        <f>C468</f>
        <v>Treasury Fee</v>
      </c>
    </row>
    <row r="475" spans="1:16" ht="14.1" customHeight="1" thickBot="1" x14ac:dyDescent="0.25">
      <c r="C475" s="4" t="str">
        <f>C469</f>
        <v>Intercept</v>
      </c>
    </row>
    <row r="476" spans="1:16" ht="14.1" customHeight="1" thickBot="1" x14ac:dyDescent="0.25">
      <c r="C476" s="6" t="s">
        <v>159</v>
      </c>
    </row>
    <row r="477" spans="1:16" ht="14.1" customHeight="1" x14ac:dyDescent="0.2">
      <c r="C477" s="12"/>
    </row>
    <row r="478" spans="1:16" ht="14.1" customHeight="1" x14ac:dyDescent="0.25">
      <c r="A478" s="16"/>
      <c r="B478" s="42" t="s">
        <v>105</v>
      </c>
      <c r="C478" s="30" t="s">
        <v>160</v>
      </c>
    </row>
    <row r="479" spans="1:16" ht="14.1" customHeight="1" x14ac:dyDescent="0.2">
      <c r="A479" s="20"/>
      <c r="B479" s="20"/>
      <c r="C479" s="4" t="str">
        <f>C473</f>
        <v>Debt Reserve</v>
      </c>
      <c r="D479" s="43"/>
      <c r="E479" s="43"/>
      <c r="F479" s="43"/>
      <c r="G479" s="43"/>
      <c r="H479" s="43"/>
      <c r="I479" s="43"/>
      <c r="J479" s="43"/>
      <c r="L479" s="43"/>
      <c r="M479" s="43"/>
      <c r="N479" s="43"/>
      <c r="O479" s="43"/>
      <c r="P479" s="43"/>
    </row>
    <row r="480" spans="1:16" ht="14.1" customHeight="1" x14ac:dyDescent="0.2">
      <c r="C480" s="4" t="str">
        <f>C474</f>
        <v>Treasury Fee</v>
      </c>
    </row>
    <row r="481" spans="1:16" ht="14.1" customHeight="1" thickBot="1" x14ac:dyDescent="0.25">
      <c r="C481" s="4" t="str">
        <f>C475</f>
        <v>Intercept</v>
      </c>
    </row>
    <row r="482" spans="1:16" ht="14.1" customHeight="1" thickBot="1" x14ac:dyDescent="0.25">
      <c r="C482" s="6" t="s">
        <v>161</v>
      </c>
    </row>
    <row r="483" spans="1:16" ht="14.1" customHeight="1" x14ac:dyDescent="0.2">
      <c r="C483" s="12"/>
    </row>
    <row r="484" spans="1:16" ht="14.1" customHeight="1" x14ac:dyDescent="0.25">
      <c r="A484" s="16"/>
      <c r="B484" s="42" t="s">
        <v>105</v>
      </c>
      <c r="C484" s="30" t="s">
        <v>162</v>
      </c>
    </row>
    <row r="485" spans="1:16" ht="14.1" customHeight="1" x14ac:dyDescent="0.2">
      <c r="A485" s="20"/>
      <c r="B485" s="20"/>
      <c r="C485" s="4" t="str">
        <f>C479</f>
        <v>Debt Reserve</v>
      </c>
      <c r="D485" s="43"/>
      <c r="E485" s="43"/>
      <c r="F485" s="43"/>
      <c r="G485" s="43"/>
      <c r="H485" s="43"/>
      <c r="I485" s="43"/>
      <c r="J485" s="43"/>
      <c r="L485" s="43"/>
      <c r="M485" s="43"/>
      <c r="N485" s="43"/>
      <c r="O485" s="43"/>
      <c r="P485" s="43"/>
    </row>
    <row r="486" spans="1:16" ht="14.1" customHeight="1" x14ac:dyDescent="0.2">
      <c r="C486" s="4" t="str">
        <f>C480</f>
        <v>Treasury Fee</v>
      </c>
    </row>
    <row r="487" spans="1:16" ht="14.1" customHeight="1" thickBot="1" x14ac:dyDescent="0.25">
      <c r="C487" s="4" t="str">
        <f>C481</f>
        <v>Intercept</v>
      </c>
    </row>
    <row r="488" spans="1:16" ht="14.1" customHeight="1" thickBot="1" x14ac:dyDescent="0.25">
      <c r="C488" s="6" t="s">
        <v>163</v>
      </c>
    </row>
    <row r="489" spans="1:16" ht="14.1" customHeight="1" x14ac:dyDescent="0.2">
      <c r="C489" s="12"/>
    </row>
    <row r="490" spans="1:16" ht="14.1" customHeight="1" x14ac:dyDescent="0.25">
      <c r="A490" s="16">
        <f>+A460+1</f>
        <v>20</v>
      </c>
      <c r="B490" s="21"/>
      <c r="C490" s="5" t="s">
        <v>164</v>
      </c>
    </row>
    <row r="491" spans="1:16" ht="14.1" customHeight="1" x14ac:dyDescent="0.2">
      <c r="A491" s="20"/>
      <c r="B491" s="20"/>
      <c r="C491" s="4" t="str">
        <f>C485</f>
        <v>Debt Reserve</v>
      </c>
      <c r="D491" s="51">
        <v>665.42</v>
      </c>
      <c r="E491" s="51">
        <v>665.42</v>
      </c>
      <c r="F491" s="51">
        <v>665.42</v>
      </c>
      <c r="G491" s="51">
        <v>665.42</v>
      </c>
      <c r="H491" s="51">
        <v>665.42</v>
      </c>
      <c r="I491" s="51">
        <v>665.42</v>
      </c>
      <c r="J491" s="51">
        <v>665.42</v>
      </c>
      <c r="K491" s="55">
        <v>665.42</v>
      </c>
      <c r="L491" s="51">
        <v>665.42</v>
      </c>
      <c r="M491" s="51">
        <v>665.42</v>
      </c>
      <c r="N491" s="51">
        <v>665.42</v>
      </c>
      <c r="O491" s="51">
        <v>665.42</v>
      </c>
      <c r="P491" s="26">
        <f>SUM(D491:O491)</f>
        <v>7985.04</v>
      </c>
    </row>
    <row r="492" spans="1:16" ht="14.1" customHeight="1" x14ac:dyDescent="0.2">
      <c r="C492" s="4" t="str">
        <f>C486</f>
        <v>Treasury Fee</v>
      </c>
      <c r="D492" s="47">
        <v>250</v>
      </c>
      <c r="E492" s="47"/>
      <c r="F492" s="47"/>
      <c r="G492" s="47"/>
      <c r="H492" s="47"/>
      <c r="I492" s="47"/>
      <c r="J492" s="47"/>
      <c r="K492" s="55"/>
      <c r="L492" s="47"/>
      <c r="M492" s="47"/>
      <c r="N492" s="47"/>
      <c r="O492" s="47"/>
      <c r="P492" s="26">
        <f>SUM(D492:O492)</f>
        <v>250</v>
      </c>
    </row>
    <row r="493" spans="1:16" ht="14.1" customHeight="1" thickBot="1" x14ac:dyDescent="0.25">
      <c r="C493" s="4" t="str">
        <f>C487</f>
        <v>Intercept</v>
      </c>
      <c r="D493" s="47">
        <f>24166.67+30076.04</f>
        <v>54242.71</v>
      </c>
      <c r="E493" s="47">
        <f>24166.67+30076.04</f>
        <v>54242.71</v>
      </c>
      <c r="F493" s="47">
        <f>24166.67+30076.04</f>
        <v>54242.71</v>
      </c>
      <c r="G493" s="47">
        <f>24166.67+30076.04</f>
        <v>54242.71</v>
      </c>
      <c r="H493" s="47">
        <f>24166.67+30076.04</f>
        <v>54242.71</v>
      </c>
      <c r="I493" s="47">
        <f>24166.65+30076.05</f>
        <v>54242.7</v>
      </c>
      <c r="J493" s="47">
        <f>23333.33+29683.33</f>
        <v>53016.66</v>
      </c>
      <c r="K493" s="55">
        <f>23333.35+29683.35</f>
        <v>53016.7</v>
      </c>
      <c r="L493" s="47">
        <f>23333.33+29683.33</f>
        <v>53016.66</v>
      </c>
      <c r="M493" s="47">
        <f>23333.33+29683.33</f>
        <v>53016.66</v>
      </c>
      <c r="N493" s="47">
        <f>23333.33+29683.33</f>
        <v>53016.66</v>
      </c>
      <c r="O493" s="47">
        <f>23333.33+29683.33</f>
        <v>53016.66</v>
      </c>
      <c r="P493" s="26">
        <f>SUM(D493:O493)</f>
        <v>643556.25000000012</v>
      </c>
    </row>
    <row r="494" spans="1:16" ht="14.1" customHeight="1" thickBot="1" x14ac:dyDescent="0.25">
      <c r="C494" s="6" t="s">
        <v>165</v>
      </c>
      <c r="D494" s="27">
        <f t="shared" ref="D494:P494" si="39">SUM(D491:D493)</f>
        <v>55158.13</v>
      </c>
      <c r="E494" s="27">
        <f t="shared" si="39"/>
        <v>54908.13</v>
      </c>
      <c r="F494" s="27">
        <f t="shared" si="39"/>
        <v>54908.13</v>
      </c>
      <c r="G494" s="27">
        <f t="shared" si="39"/>
        <v>54908.13</v>
      </c>
      <c r="H494" s="27">
        <f t="shared" si="39"/>
        <v>54908.13</v>
      </c>
      <c r="I494" s="27">
        <f t="shared" si="39"/>
        <v>54908.119999999995</v>
      </c>
      <c r="J494" s="27">
        <f t="shared" si="39"/>
        <v>53682.080000000002</v>
      </c>
      <c r="K494" s="40">
        <f t="shared" si="39"/>
        <v>53682.119999999995</v>
      </c>
      <c r="L494" s="27">
        <f t="shared" si="39"/>
        <v>53682.080000000002</v>
      </c>
      <c r="M494" s="27">
        <f t="shared" si="39"/>
        <v>53682.080000000002</v>
      </c>
      <c r="N494" s="27">
        <f t="shared" si="39"/>
        <v>53682.080000000002</v>
      </c>
      <c r="O494" s="27">
        <f t="shared" si="39"/>
        <v>53682.080000000002</v>
      </c>
      <c r="P494" s="27">
        <f t="shared" si="39"/>
        <v>651791.29000000015</v>
      </c>
    </row>
    <row r="495" spans="1:16" ht="14.1" customHeight="1" x14ac:dyDescent="0.2">
      <c r="C495" s="12"/>
    </row>
    <row r="496" spans="1:16" ht="14.1" customHeight="1" x14ac:dyDescent="0.25">
      <c r="A496" s="16">
        <f>+A490+1</f>
        <v>21</v>
      </c>
      <c r="B496" s="21"/>
      <c r="C496" s="5" t="s">
        <v>166</v>
      </c>
    </row>
    <row r="497" spans="1:16" ht="14.1" customHeight="1" x14ac:dyDescent="0.2">
      <c r="A497" s="20"/>
      <c r="B497" s="20"/>
      <c r="C497" s="4" t="str">
        <f>C491</f>
        <v>Debt Reserve</v>
      </c>
      <c r="D497" s="26">
        <v>0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39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f>SUM(D497:O497)</f>
        <v>0</v>
      </c>
    </row>
    <row r="498" spans="1:16" ht="14.1" customHeight="1" x14ac:dyDescent="0.2">
      <c r="C498" s="4" t="str">
        <f>C492</f>
        <v>Treasury Fee</v>
      </c>
      <c r="D498" s="47">
        <v>250</v>
      </c>
      <c r="E498" s="47"/>
      <c r="F498" s="47"/>
      <c r="G498" s="47"/>
      <c r="H498" s="47"/>
      <c r="I498" s="47"/>
      <c r="J498" s="47"/>
      <c r="K498" s="55"/>
      <c r="L498" s="47"/>
      <c r="M498" s="47"/>
      <c r="N498" s="47"/>
      <c r="O498" s="47"/>
      <c r="P498" s="26">
        <f>SUM(D498:O498)</f>
        <v>250</v>
      </c>
    </row>
    <row r="499" spans="1:16" ht="14.1" customHeight="1" thickBot="1" x14ac:dyDescent="0.25">
      <c r="C499" s="4" t="str">
        <f>C493</f>
        <v>Intercept</v>
      </c>
      <c r="D499" s="26">
        <f>8750+40191.67</f>
        <v>48941.67</v>
      </c>
      <c r="E499" s="26">
        <f>8750+40191.67</f>
        <v>48941.67</v>
      </c>
      <c r="F499" s="26">
        <f>8750+40191.65</f>
        <v>48941.65</v>
      </c>
      <c r="G499" s="47">
        <f>9583.33+39579.16</f>
        <v>49162.490000000005</v>
      </c>
      <c r="H499" s="47">
        <f t="shared" ref="H499:O499" si="40">9583.33+39579.16</f>
        <v>49162.490000000005</v>
      </c>
      <c r="I499" s="47">
        <f t="shared" si="40"/>
        <v>49162.490000000005</v>
      </c>
      <c r="J499" s="47">
        <f t="shared" si="40"/>
        <v>49162.490000000005</v>
      </c>
      <c r="K499" s="55">
        <f t="shared" si="40"/>
        <v>49162.490000000005</v>
      </c>
      <c r="L499" s="47">
        <f>9583.33+39579.2</f>
        <v>49162.53</v>
      </c>
      <c r="M499" s="47">
        <f t="shared" si="40"/>
        <v>49162.490000000005</v>
      </c>
      <c r="N499" s="47">
        <f t="shared" si="40"/>
        <v>49162.490000000005</v>
      </c>
      <c r="O499" s="47">
        <f t="shared" si="40"/>
        <v>49162.490000000005</v>
      </c>
      <c r="P499" s="26">
        <f>SUM(D499:O499)</f>
        <v>589287.43999999994</v>
      </c>
    </row>
    <row r="500" spans="1:16" ht="14.1" customHeight="1" thickBot="1" x14ac:dyDescent="0.25">
      <c r="C500" s="6" t="s">
        <v>167</v>
      </c>
      <c r="D500" s="27">
        <f t="shared" ref="D500:P500" si="41">SUM(D497:D499)</f>
        <v>49191.67</v>
      </c>
      <c r="E500" s="27">
        <f t="shared" si="41"/>
        <v>48941.67</v>
      </c>
      <c r="F500" s="27">
        <f t="shared" si="41"/>
        <v>48941.65</v>
      </c>
      <c r="G500" s="27">
        <f t="shared" si="41"/>
        <v>49162.490000000005</v>
      </c>
      <c r="H500" s="27">
        <f t="shared" si="41"/>
        <v>49162.490000000005</v>
      </c>
      <c r="I500" s="27">
        <f t="shared" si="41"/>
        <v>49162.490000000005</v>
      </c>
      <c r="J500" s="27">
        <f t="shared" si="41"/>
        <v>49162.490000000005</v>
      </c>
      <c r="K500" s="40">
        <f t="shared" si="41"/>
        <v>49162.490000000005</v>
      </c>
      <c r="L500" s="27">
        <f t="shared" si="41"/>
        <v>49162.53</v>
      </c>
      <c r="M500" s="27">
        <f t="shared" si="41"/>
        <v>49162.490000000005</v>
      </c>
      <c r="N500" s="27">
        <f t="shared" si="41"/>
        <v>49162.490000000005</v>
      </c>
      <c r="O500" s="27">
        <f t="shared" si="41"/>
        <v>49162.490000000005</v>
      </c>
      <c r="P500" s="27">
        <f t="shared" si="41"/>
        <v>589537.43999999994</v>
      </c>
    </row>
    <row r="501" spans="1:16" ht="14.1" customHeight="1" x14ac:dyDescent="0.2">
      <c r="C501" s="12"/>
    </row>
    <row r="502" spans="1:16" ht="14.1" customHeight="1" x14ac:dyDescent="0.25">
      <c r="A502" s="16"/>
      <c r="B502" s="42" t="s">
        <v>105</v>
      </c>
      <c r="C502" s="30" t="s">
        <v>168</v>
      </c>
    </row>
    <row r="503" spans="1:16" ht="14.1" customHeight="1" x14ac:dyDescent="0.2">
      <c r="A503" s="20"/>
      <c r="B503" s="20"/>
      <c r="C503" s="4" t="str">
        <f>C497</f>
        <v>Debt Reserve</v>
      </c>
      <c r="D503" s="43"/>
      <c r="E503" s="43"/>
      <c r="F503" s="43"/>
      <c r="G503" s="43"/>
      <c r="H503" s="43"/>
      <c r="I503" s="43"/>
      <c r="J503" s="43"/>
      <c r="L503" s="43"/>
      <c r="M503" s="43"/>
      <c r="N503" s="43"/>
      <c r="O503" s="43"/>
      <c r="P503" s="43"/>
    </row>
    <row r="504" spans="1:16" ht="14.1" customHeight="1" x14ac:dyDescent="0.2">
      <c r="C504" s="4" t="str">
        <f>C498</f>
        <v>Treasury Fee</v>
      </c>
    </row>
    <row r="505" spans="1:16" ht="14.1" customHeight="1" thickBot="1" x14ac:dyDescent="0.25">
      <c r="C505" s="4" t="str">
        <f>C499</f>
        <v>Intercept</v>
      </c>
    </row>
    <row r="506" spans="1:16" ht="14.1" customHeight="1" thickBot="1" x14ac:dyDescent="0.25">
      <c r="C506" s="6" t="s">
        <v>169</v>
      </c>
    </row>
    <row r="507" spans="1:16" ht="14.1" customHeight="1" x14ac:dyDescent="0.2">
      <c r="C507" s="12"/>
    </row>
    <row r="508" spans="1:16" ht="14.1" customHeight="1" x14ac:dyDescent="0.25">
      <c r="A508" s="16"/>
      <c r="B508" s="42" t="s">
        <v>105</v>
      </c>
      <c r="C508" s="30" t="s">
        <v>170</v>
      </c>
    </row>
    <row r="509" spans="1:16" ht="14.1" customHeight="1" x14ac:dyDescent="0.2">
      <c r="A509" s="20"/>
      <c r="B509" s="20"/>
      <c r="C509" s="4" t="str">
        <f>C503</f>
        <v>Debt Reserve</v>
      </c>
      <c r="D509" s="43"/>
      <c r="E509" s="43"/>
      <c r="F509" s="43"/>
      <c r="G509" s="43"/>
      <c r="H509" s="43"/>
      <c r="I509" s="43"/>
      <c r="J509" s="43"/>
      <c r="L509" s="43"/>
      <c r="M509" s="43"/>
      <c r="N509" s="43"/>
      <c r="O509" s="43"/>
      <c r="P509" s="43"/>
    </row>
    <row r="510" spans="1:16" ht="14.1" customHeight="1" x14ac:dyDescent="0.2">
      <c r="C510" s="4" t="str">
        <f>C504</f>
        <v>Treasury Fee</v>
      </c>
    </row>
    <row r="511" spans="1:16" ht="14.1" customHeight="1" thickBot="1" x14ac:dyDescent="0.25">
      <c r="C511" s="4" t="str">
        <f>C505</f>
        <v>Intercept</v>
      </c>
    </row>
    <row r="512" spans="1:16" ht="14.1" customHeight="1" thickBot="1" x14ac:dyDescent="0.25">
      <c r="C512" s="6" t="s">
        <v>116</v>
      </c>
    </row>
    <row r="513" spans="1:16" ht="14.1" customHeight="1" x14ac:dyDescent="0.2">
      <c r="C513" s="12"/>
    </row>
    <row r="514" spans="1:16" ht="14.1" customHeight="1" x14ac:dyDescent="0.25">
      <c r="A514" s="16">
        <f>A496+1</f>
        <v>22</v>
      </c>
      <c r="B514" s="21"/>
      <c r="C514" s="5" t="s">
        <v>171</v>
      </c>
    </row>
    <row r="515" spans="1:16" ht="14.1" customHeight="1" x14ac:dyDescent="0.2">
      <c r="A515" s="20"/>
      <c r="B515" s="20"/>
      <c r="C515" s="4" t="str">
        <f>C509</f>
        <v>Debt Reserve</v>
      </c>
      <c r="D515" s="26">
        <v>0</v>
      </c>
      <c r="E515" s="26">
        <v>0</v>
      </c>
      <c r="F515" s="26">
        <v>0</v>
      </c>
      <c r="G515" s="26">
        <v>0</v>
      </c>
      <c r="H515" s="26">
        <v>0</v>
      </c>
      <c r="I515" s="26">
        <v>0</v>
      </c>
      <c r="J515" s="26">
        <v>0</v>
      </c>
      <c r="K515" s="39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f>SUM(D515:O515)</f>
        <v>0</v>
      </c>
    </row>
    <row r="516" spans="1:16" ht="14.1" customHeight="1" x14ac:dyDescent="0.2">
      <c r="C516" s="4" t="str">
        <f>C510</f>
        <v>Treasury Fee</v>
      </c>
      <c r="D516" s="47">
        <v>250</v>
      </c>
      <c r="E516" s="47"/>
      <c r="F516" s="47"/>
      <c r="G516" s="47"/>
      <c r="H516" s="47"/>
      <c r="I516" s="47"/>
      <c r="J516" s="47"/>
      <c r="K516" s="55"/>
      <c r="L516" s="47"/>
      <c r="M516" s="47"/>
      <c r="N516" s="47"/>
      <c r="O516" s="47"/>
      <c r="P516" s="26">
        <f>SUM(D516:O516)</f>
        <v>250</v>
      </c>
    </row>
    <row r="517" spans="1:16" ht="14.1" customHeight="1" thickBot="1" x14ac:dyDescent="0.25">
      <c r="C517" s="4" t="str">
        <f>C511</f>
        <v>Intercept</v>
      </c>
      <c r="D517" s="47">
        <f>11250+28666.67</f>
        <v>39916.67</v>
      </c>
      <c r="E517" s="47">
        <f>11250+28666.67</f>
        <v>39916.67</v>
      </c>
      <c r="F517" s="47">
        <f>11250+28666.67</f>
        <v>39916.67</v>
      </c>
      <c r="G517" s="47">
        <f>11250+28666.65</f>
        <v>39916.65</v>
      </c>
      <c r="H517" s="47">
        <f>11666.67+28104.17</f>
        <v>39770.839999999997</v>
      </c>
      <c r="I517" s="47">
        <f t="shared" ref="I517:O517" si="42">11666.67+28104.17</f>
        <v>39770.839999999997</v>
      </c>
      <c r="J517" s="47">
        <f t="shared" si="42"/>
        <v>39770.839999999997</v>
      </c>
      <c r="K517" s="55">
        <f t="shared" si="42"/>
        <v>39770.839999999997</v>
      </c>
      <c r="L517" s="47">
        <f t="shared" si="42"/>
        <v>39770.839999999997</v>
      </c>
      <c r="M517" s="47">
        <f>11666.67+28104.15</f>
        <v>39770.82</v>
      </c>
      <c r="N517" s="47">
        <f t="shared" si="42"/>
        <v>39770.839999999997</v>
      </c>
      <c r="O517" s="47">
        <f t="shared" si="42"/>
        <v>39770.839999999997</v>
      </c>
      <c r="P517" s="26">
        <f>SUM(D517:O517)</f>
        <v>477833.36</v>
      </c>
    </row>
    <row r="518" spans="1:16" ht="14.1" customHeight="1" thickBot="1" x14ac:dyDescent="0.25">
      <c r="C518" s="6" t="s">
        <v>172</v>
      </c>
      <c r="D518" s="27">
        <f t="shared" ref="D518:P518" si="43">SUM(D515:D517)</f>
        <v>40166.67</v>
      </c>
      <c r="E518" s="27">
        <f t="shared" si="43"/>
        <v>39916.67</v>
      </c>
      <c r="F518" s="27">
        <f t="shared" si="43"/>
        <v>39916.67</v>
      </c>
      <c r="G518" s="27">
        <f t="shared" si="43"/>
        <v>39916.65</v>
      </c>
      <c r="H518" s="27">
        <f t="shared" si="43"/>
        <v>39770.839999999997</v>
      </c>
      <c r="I518" s="27">
        <f t="shared" si="43"/>
        <v>39770.839999999997</v>
      </c>
      <c r="J518" s="27">
        <f t="shared" si="43"/>
        <v>39770.839999999997</v>
      </c>
      <c r="K518" s="40">
        <f t="shared" si="43"/>
        <v>39770.839999999997</v>
      </c>
      <c r="L518" s="27">
        <f t="shared" si="43"/>
        <v>39770.839999999997</v>
      </c>
      <c r="M518" s="27">
        <f t="shared" si="43"/>
        <v>39770.82</v>
      </c>
      <c r="N518" s="27">
        <f t="shared" si="43"/>
        <v>39770.839999999997</v>
      </c>
      <c r="O518" s="27">
        <f t="shared" si="43"/>
        <v>39770.839999999997</v>
      </c>
      <c r="P518" s="27">
        <f t="shared" si="43"/>
        <v>478083.36</v>
      </c>
    </row>
    <row r="519" spans="1:16" ht="14.1" customHeight="1" x14ac:dyDescent="0.2">
      <c r="C519" s="12"/>
    </row>
    <row r="520" spans="1:16" ht="14.1" customHeight="1" x14ac:dyDescent="0.25">
      <c r="A520" s="16">
        <f>+A514+1</f>
        <v>23</v>
      </c>
      <c r="B520" s="33" t="s">
        <v>103</v>
      </c>
      <c r="C520" s="32" t="s">
        <v>173</v>
      </c>
    </row>
    <row r="521" spans="1:16" ht="14.1" customHeight="1" x14ac:dyDescent="0.2">
      <c r="A521" s="20"/>
      <c r="B521" s="20"/>
      <c r="C521" s="4" t="str">
        <f>C515</f>
        <v>Debt Reserve</v>
      </c>
      <c r="D521" s="26">
        <v>1303.75</v>
      </c>
      <c r="E521" s="26">
        <v>1303.75</v>
      </c>
      <c r="F521" s="26">
        <v>1303.75</v>
      </c>
      <c r="G521" s="26">
        <v>1303.75</v>
      </c>
      <c r="H521" s="26">
        <v>1303.75</v>
      </c>
      <c r="I521" s="26">
        <v>1303.75</v>
      </c>
      <c r="J521" s="26">
        <v>1303.75</v>
      </c>
      <c r="K521" s="39">
        <v>1303.75</v>
      </c>
      <c r="L521" s="51">
        <v>1247.08</v>
      </c>
      <c r="M521" s="51">
        <v>1247.08</v>
      </c>
      <c r="N521" s="51">
        <v>1247.08</v>
      </c>
      <c r="O521" s="51">
        <v>1247.08</v>
      </c>
      <c r="P521" s="26">
        <f>SUM(D521:O521)</f>
        <v>15418.32</v>
      </c>
    </row>
    <row r="522" spans="1:16" ht="14.1" customHeight="1" x14ac:dyDescent="0.2">
      <c r="C522" s="4" t="str">
        <f>C516</f>
        <v>Treasury Fee</v>
      </c>
      <c r="D522" s="47">
        <v>250</v>
      </c>
      <c r="E522" s="47"/>
      <c r="F522" s="47"/>
      <c r="G522" s="47"/>
      <c r="H522" s="47"/>
      <c r="I522" s="47"/>
      <c r="J522" s="47"/>
      <c r="K522" s="55"/>
      <c r="L522" s="47"/>
      <c r="M522" s="47"/>
      <c r="N522" s="47"/>
      <c r="O522" s="47"/>
      <c r="P522" s="26">
        <f>SUM(D522:O522)</f>
        <v>250</v>
      </c>
    </row>
    <row r="523" spans="1:16" ht="14.1" customHeight="1" thickBot="1" x14ac:dyDescent="0.25">
      <c r="C523" s="4" t="str">
        <f>C517</f>
        <v>Intercept</v>
      </c>
      <c r="D523" s="26">
        <f t="shared" ref="D523:N523" si="44">59166.67+56353.13</f>
        <v>115519.79999999999</v>
      </c>
      <c r="E523" s="26">
        <f t="shared" si="44"/>
        <v>115519.79999999999</v>
      </c>
      <c r="F523" s="26">
        <f t="shared" si="44"/>
        <v>115519.79999999999</v>
      </c>
      <c r="G523" s="26">
        <f t="shared" si="44"/>
        <v>115519.79999999999</v>
      </c>
      <c r="H523" s="26">
        <f t="shared" si="44"/>
        <v>115519.79999999999</v>
      </c>
      <c r="I523" s="26">
        <f t="shared" si="44"/>
        <v>115519.79999999999</v>
      </c>
      <c r="J523" s="26">
        <f t="shared" si="44"/>
        <v>115519.79999999999</v>
      </c>
      <c r="K523" s="39">
        <f t="shared" si="44"/>
        <v>115519.79999999999</v>
      </c>
      <c r="L523" s="26">
        <f t="shared" si="44"/>
        <v>115519.79999999999</v>
      </c>
      <c r="M523" s="26">
        <f t="shared" si="44"/>
        <v>115519.79999999999</v>
      </c>
      <c r="N523" s="26">
        <f t="shared" si="44"/>
        <v>115519.79999999999</v>
      </c>
      <c r="O523" s="47">
        <f>62083.33+53394.79</f>
        <v>115478.12</v>
      </c>
      <c r="P523" s="26">
        <f>SUM(D523:O523)</f>
        <v>1386195.9200000004</v>
      </c>
    </row>
    <row r="524" spans="1:16" ht="14.1" customHeight="1" thickBot="1" x14ac:dyDescent="0.25">
      <c r="C524" s="6" t="s">
        <v>129</v>
      </c>
      <c r="D524" s="27">
        <f t="shared" ref="D524:P524" si="45">SUM(D521:D523)</f>
        <v>117073.54999999999</v>
      </c>
      <c r="E524" s="27">
        <f t="shared" si="45"/>
        <v>116823.54999999999</v>
      </c>
      <c r="F524" s="27">
        <f t="shared" si="45"/>
        <v>116823.54999999999</v>
      </c>
      <c r="G524" s="27">
        <f t="shared" si="45"/>
        <v>116823.54999999999</v>
      </c>
      <c r="H524" s="27">
        <f t="shared" si="45"/>
        <v>116823.54999999999</v>
      </c>
      <c r="I524" s="27">
        <f t="shared" si="45"/>
        <v>116823.54999999999</v>
      </c>
      <c r="J524" s="27">
        <f t="shared" si="45"/>
        <v>116823.54999999999</v>
      </c>
      <c r="K524" s="40">
        <f t="shared" si="45"/>
        <v>116823.54999999999</v>
      </c>
      <c r="L524" s="27">
        <f t="shared" si="45"/>
        <v>116766.87999999999</v>
      </c>
      <c r="M524" s="27">
        <f t="shared" si="45"/>
        <v>116766.87999999999</v>
      </c>
      <c r="N524" s="27">
        <f t="shared" si="45"/>
        <v>116766.87999999999</v>
      </c>
      <c r="O524" s="27">
        <f t="shared" si="45"/>
        <v>116725.2</v>
      </c>
      <c r="P524" s="27">
        <f t="shared" si="45"/>
        <v>1401864.2400000005</v>
      </c>
    </row>
    <row r="525" spans="1:16" ht="14.1" customHeight="1" x14ac:dyDescent="0.2">
      <c r="C525" s="12"/>
    </row>
    <row r="526" spans="1:16" ht="14.1" customHeight="1" x14ac:dyDescent="0.25">
      <c r="A526" s="16">
        <f>+A520+1</f>
        <v>24</v>
      </c>
      <c r="B526" s="21"/>
      <c r="C526" s="5" t="s">
        <v>174</v>
      </c>
    </row>
    <row r="527" spans="1:16" ht="14.1" customHeight="1" x14ac:dyDescent="0.2">
      <c r="A527" s="20"/>
      <c r="B527" s="20"/>
      <c r="C527" s="4" t="str">
        <f>C521</f>
        <v>Debt Reserve</v>
      </c>
      <c r="D527" s="26">
        <v>580.83000000000004</v>
      </c>
      <c r="E527" s="26">
        <v>580.83000000000004</v>
      </c>
      <c r="F527" s="26">
        <v>580.83000000000004</v>
      </c>
      <c r="G527" s="26">
        <v>580.83000000000004</v>
      </c>
      <c r="H527" s="26">
        <v>580.83000000000004</v>
      </c>
      <c r="I527" s="26">
        <v>580.83000000000004</v>
      </c>
      <c r="J527" s="26">
        <v>580.83000000000004</v>
      </c>
      <c r="K527" s="39">
        <v>580.83000000000004</v>
      </c>
      <c r="L527" s="26">
        <v>580.87</v>
      </c>
      <c r="M527" s="51">
        <v>567.5</v>
      </c>
      <c r="N527" s="51">
        <v>567.5</v>
      </c>
      <c r="O527" s="51">
        <v>567.5</v>
      </c>
      <c r="P527" s="26">
        <f>SUM(D527:O527)</f>
        <v>6930.01</v>
      </c>
    </row>
    <row r="528" spans="1:16" ht="14.1" customHeight="1" x14ac:dyDescent="0.2">
      <c r="C528" s="4" t="str">
        <f>C522</f>
        <v>Treasury Fee</v>
      </c>
      <c r="D528" s="47">
        <v>250</v>
      </c>
      <c r="E528" s="47"/>
      <c r="F528" s="47"/>
      <c r="G528" s="47"/>
      <c r="H528" s="47"/>
      <c r="I528" s="47"/>
      <c r="J528" s="47"/>
      <c r="K528" s="55"/>
      <c r="L528" s="47"/>
      <c r="M528" s="47"/>
      <c r="N528" s="47"/>
      <c r="O528" s="47"/>
      <c r="P528" s="26">
        <f>SUM(D528:O528)</f>
        <v>250</v>
      </c>
    </row>
    <row r="529" spans="1:16" ht="14.1" customHeight="1" thickBot="1" x14ac:dyDescent="0.25">
      <c r="C529" s="4" t="str">
        <f>C523</f>
        <v>Intercept</v>
      </c>
      <c r="D529" s="26">
        <f t="shared" ref="D529:J529" si="46">13333.33+25659.58</f>
        <v>38992.910000000003</v>
      </c>
      <c r="E529" s="26">
        <f>13333.33+25659.6</f>
        <v>38992.93</v>
      </c>
      <c r="F529" s="26">
        <f t="shared" si="46"/>
        <v>38992.910000000003</v>
      </c>
      <c r="G529" s="26">
        <f t="shared" si="46"/>
        <v>38992.910000000003</v>
      </c>
      <c r="H529" s="26">
        <f t="shared" si="46"/>
        <v>38992.910000000003</v>
      </c>
      <c r="I529" s="26">
        <f t="shared" si="46"/>
        <v>38992.910000000003</v>
      </c>
      <c r="J529" s="26">
        <f t="shared" si="46"/>
        <v>38992.910000000003</v>
      </c>
      <c r="K529" s="39">
        <f>13333.33+25659.6</f>
        <v>38992.93</v>
      </c>
      <c r="L529" s="47">
        <f>13750+25052.92</f>
        <v>38802.92</v>
      </c>
      <c r="M529" s="47">
        <f>13750+25052.92</f>
        <v>38802.92</v>
      </c>
      <c r="N529" s="47">
        <f>13750+25052.92</f>
        <v>38802.92</v>
      </c>
      <c r="O529" s="47">
        <f>13750+25052.92</f>
        <v>38802.92</v>
      </c>
      <c r="P529" s="26">
        <f>SUM(D529:O529)</f>
        <v>467154.99999999994</v>
      </c>
    </row>
    <row r="530" spans="1:16" ht="14.1" customHeight="1" thickBot="1" x14ac:dyDescent="0.25">
      <c r="C530" s="6" t="s">
        <v>175</v>
      </c>
      <c r="D530" s="27">
        <f t="shared" ref="D530:P530" si="47">SUM(D527:D529)</f>
        <v>39823.740000000005</v>
      </c>
      <c r="E530" s="27">
        <f t="shared" si="47"/>
        <v>39573.760000000002</v>
      </c>
      <c r="F530" s="27">
        <f t="shared" si="47"/>
        <v>39573.740000000005</v>
      </c>
      <c r="G530" s="27">
        <f t="shared" si="47"/>
        <v>39573.740000000005</v>
      </c>
      <c r="H530" s="27">
        <f t="shared" si="47"/>
        <v>39573.740000000005</v>
      </c>
      <c r="I530" s="27">
        <f t="shared" si="47"/>
        <v>39573.740000000005</v>
      </c>
      <c r="J530" s="27">
        <f t="shared" si="47"/>
        <v>39573.740000000005</v>
      </c>
      <c r="K530" s="40">
        <f t="shared" si="47"/>
        <v>39573.760000000002</v>
      </c>
      <c r="L530" s="27">
        <f t="shared" si="47"/>
        <v>39383.79</v>
      </c>
      <c r="M530" s="27">
        <f t="shared" si="47"/>
        <v>39370.42</v>
      </c>
      <c r="N530" s="27">
        <f t="shared" si="47"/>
        <v>39370.42</v>
      </c>
      <c r="O530" s="27">
        <f t="shared" si="47"/>
        <v>39370.42</v>
      </c>
      <c r="P530" s="27">
        <f t="shared" si="47"/>
        <v>474335.00999999995</v>
      </c>
    </row>
    <row r="531" spans="1:16" ht="14.1" customHeight="1" x14ac:dyDescent="0.2">
      <c r="C531" s="12"/>
    </row>
    <row r="532" spans="1:16" ht="14.1" customHeight="1" x14ac:dyDescent="0.25">
      <c r="A532" s="16">
        <f>+A526+1</f>
        <v>25</v>
      </c>
      <c r="B532" s="21"/>
      <c r="C532" s="5" t="s">
        <v>176</v>
      </c>
    </row>
    <row r="533" spans="1:16" ht="14.1" customHeight="1" x14ac:dyDescent="0.2">
      <c r="A533" s="20"/>
      <c r="B533" s="20"/>
      <c r="C533" s="4" t="str">
        <f>C527</f>
        <v>Debt Reserve</v>
      </c>
      <c r="D533" s="26">
        <v>431.92</v>
      </c>
      <c r="E533" s="26">
        <v>431.92</v>
      </c>
      <c r="F533" s="26">
        <v>431.92</v>
      </c>
      <c r="G533" s="26">
        <v>431.92</v>
      </c>
      <c r="H533" s="51">
        <v>431.91</v>
      </c>
      <c r="I533" s="51">
        <v>431.91</v>
      </c>
      <c r="J533" s="51">
        <v>431.91</v>
      </c>
      <c r="K533" s="55">
        <v>411.01</v>
      </c>
      <c r="L533" s="51">
        <v>411.01</v>
      </c>
      <c r="M533" s="51">
        <v>411.01</v>
      </c>
      <c r="N533" s="51">
        <v>411.01</v>
      </c>
      <c r="O533" s="51">
        <v>411.01</v>
      </c>
      <c r="P533" s="26">
        <f>SUM(D533:O533)</f>
        <v>5078.4600000000009</v>
      </c>
    </row>
    <row r="534" spans="1:16" ht="14.1" customHeight="1" x14ac:dyDescent="0.2">
      <c r="C534" s="4" t="str">
        <f>C528</f>
        <v>Treasury Fee</v>
      </c>
      <c r="D534" s="47">
        <v>250</v>
      </c>
      <c r="E534" s="47"/>
      <c r="F534" s="47"/>
      <c r="G534" s="47"/>
      <c r="H534" s="47"/>
      <c r="I534" s="47"/>
      <c r="J534" s="47"/>
      <c r="K534" s="55"/>
      <c r="L534" s="47"/>
      <c r="M534" s="47"/>
      <c r="N534" s="47"/>
      <c r="O534" s="47"/>
      <c r="P534" s="26">
        <f>SUM(D534:O534)</f>
        <v>250</v>
      </c>
    </row>
    <row r="535" spans="1:16" ht="14.1" customHeight="1" thickBot="1" x14ac:dyDescent="0.25">
      <c r="C535" s="4" t="str">
        <f>C529</f>
        <v>Intercept</v>
      </c>
      <c r="D535" s="47">
        <f>20908.88+13864.54</f>
        <v>34773.42</v>
      </c>
      <c r="E535" s="47">
        <f t="shared" ref="E535:J535" si="48">20908.87+13864.54</f>
        <v>34773.410000000003</v>
      </c>
      <c r="F535" s="47">
        <f t="shared" si="48"/>
        <v>34773.410000000003</v>
      </c>
      <c r="G535" s="47">
        <f t="shared" si="48"/>
        <v>34773.410000000003</v>
      </c>
      <c r="H535" s="47">
        <f t="shared" si="48"/>
        <v>34773.410000000003</v>
      </c>
      <c r="I535" s="47">
        <f t="shared" si="48"/>
        <v>34773.410000000003</v>
      </c>
      <c r="J535" s="47">
        <f t="shared" si="48"/>
        <v>34773.410000000003</v>
      </c>
      <c r="K535" s="55">
        <f>21600.96+13193.37</f>
        <v>34794.33</v>
      </c>
      <c r="L535" s="47">
        <f>21600.96+13193.37</f>
        <v>34794.33</v>
      </c>
      <c r="M535" s="47">
        <f>21600.96+13193.37</f>
        <v>34794.33</v>
      </c>
      <c r="N535" s="47">
        <f>21600.96+13193.36</f>
        <v>34794.32</v>
      </c>
      <c r="O535" s="47">
        <f>21600.96+13193.36</f>
        <v>34794.32</v>
      </c>
      <c r="P535" s="26">
        <f>SUM(D535:O535)</f>
        <v>417385.51000000007</v>
      </c>
    </row>
    <row r="536" spans="1:16" ht="14.1" customHeight="1" thickBot="1" x14ac:dyDescent="0.25">
      <c r="C536" s="6" t="s">
        <v>177</v>
      </c>
      <c r="D536" s="27">
        <f t="shared" ref="D536:P536" si="49">SUM(D533:D535)</f>
        <v>35455.339999999997</v>
      </c>
      <c r="E536" s="27">
        <f t="shared" si="49"/>
        <v>35205.33</v>
      </c>
      <c r="F536" s="27">
        <f t="shared" si="49"/>
        <v>35205.33</v>
      </c>
      <c r="G536" s="27">
        <f t="shared" si="49"/>
        <v>35205.33</v>
      </c>
      <c r="H536" s="27">
        <f t="shared" si="49"/>
        <v>35205.320000000007</v>
      </c>
      <c r="I536" s="27">
        <f t="shared" si="49"/>
        <v>35205.320000000007</v>
      </c>
      <c r="J536" s="27">
        <f t="shared" si="49"/>
        <v>35205.320000000007</v>
      </c>
      <c r="K536" s="40">
        <f t="shared" si="49"/>
        <v>35205.340000000004</v>
      </c>
      <c r="L536" s="27">
        <f t="shared" si="49"/>
        <v>35205.340000000004</v>
      </c>
      <c r="M536" s="27">
        <f t="shared" si="49"/>
        <v>35205.340000000004</v>
      </c>
      <c r="N536" s="27">
        <f t="shared" si="49"/>
        <v>35205.33</v>
      </c>
      <c r="O536" s="27">
        <f t="shared" si="49"/>
        <v>35205.33</v>
      </c>
      <c r="P536" s="27">
        <f t="shared" si="49"/>
        <v>422713.97000000009</v>
      </c>
    </row>
    <row r="537" spans="1:16" ht="14.1" customHeight="1" x14ac:dyDescent="0.2">
      <c r="C537" s="12"/>
    </row>
    <row r="538" spans="1:16" ht="14.1" customHeight="1" x14ac:dyDescent="0.25">
      <c r="A538" s="16"/>
      <c r="B538" s="42" t="s">
        <v>105</v>
      </c>
      <c r="C538" s="30" t="s">
        <v>178</v>
      </c>
    </row>
    <row r="539" spans="1:16" ht="14.1" customHeight="1" x14ac:dyDescent="0.2">
      <c r="A539" s="20"/>
      <c r="B539" s="20"/>
      <c r="C539" s="4" t="str">
        <f>C533</f>
        <v>Debt Reserve</v>
      </c>
      <c r="D539" s="43"/>
      <c r="E539" s="43"/>
      <c r="F539" s="43"/>
      <c r="G539" s="43"/>
      <c r="H539" s="43"/>
      <c r="I539" s="43"/>
      <c r="J539" s="43"/>
      <c r="L539" s="43"/>
      <c r="M539" s="43"/>
      <c r="N539" s="43"/>
      <c r="O539" s="43"/>
      <c r="P539" s="43"/>
    </row>
    <row r="540" spans="1:16" ht="14.1" customHeight="1" x14ac:dyDescent="0.2">
      <c r="C540" s="4" t="str">
        <f>C534</f>
        <v>Treasury Fee</v>
      </c>
    </row>
    <row r="541" spans="1:16" ht="14.1" customHeight="1" thickBot="1" x14ac:dyDescent="0.25">
      <c r="C541" s="4" t="str">
        <f>C535</f>
        <v>Intercept</v>
      </c>
    </row>
    <row r="542" spans="1:16" ht="14.1" customHeight="1" thickBot="1" x14ac:dyDescent="0.25">
      <c r="C542" s="6" t="s">
        <v>124</v>
      </c>
    </row>
    <row r="543" spans="1:16" ht="14.1" customHeight="1" x14ac:dyDescent="0.2">
      <c r="C543" s="12"/>
    </row>
    <row r="544" spans="1:16" ht="14.1" customHeight="1" x14ac:dyDescent="0.25">
      <c r="A544" s="16"/>
      <c r="B544" s="42" t="s">
        <v>105</v>
      </c>
      <c r="C544" s="30" t="s">
        <v>181</v>
      </c>
    </row>
    <row r="545" spans="1:16" ht="14.1" customHeight="1" x14ac:dyDescent="0.2">
      <c r="A545" s="20"/>
      <c r="B545" s="20"/>
      <c r="C545" s="4" t="str">
        <f>C539</f>
        <v>Debt Reserve</v>
      </c>
      <c r="D545" s="43"/>
      <c r="E545" s="43"/>
      <c r="F545" s="43"/>
      <c r="G545" s="43"/>
      <c r="H545" s="43"/>
      <c r="I545" s="43"/>
      <c r="J545" s="43"/>
      <c r="L545" s="43"/>
      <c r="M545" s="43"/>
      <c r="N545" s="43"/>
      <c r="O545" s="43"/>
      <c r="P545" s="43"/>
    </row>
    <row r="546" spans="1:16" ht="14.1" customHeight="1" x14ac:dyDescent="0.2">
      <c r="C546" s="4" t="str">
        <f>C540</f>
        <v>Treasury Fee</v>
      </c>
    </row>
    <row r="547" spans="1:16" ht="14.1" customHeight="1" thickBot="1" x14ac:dyDescent="0.25">
      <c r="C547" s="4" t="str">
        <f>C541</f>
        <v>Intercept</v>
      </c>
    </row>
    <row r="548" spans="1:16" ht="14.1" customHeight="1" thickBot="1" x14ac:dyDescent="0.25">
      <c r="C548" s="6" t="s">
        <v>159</v>
      </c>
    </row>
    <row r="549" spans="1:16" ht="14.1" customHeight="1" x14ac:dyDescent="0.2">
      <c r="C549" s="12"/>
    </row>
    <row r="550" spans="1:16" ht="14.1" customHeight="1" x14ac:dyDescent="0.25">
      <c r="A550" s="16">
        <f>+A532+1</f>
        <v>26</v>
      </c>
      <c r="B550" s="45" t="s">
        <v>103</v>
      </c>
      <c r="C550" s="36" t="s">
        <v>179</v>
      </c>
    </row>
    <row r="551" spans="1:16" ht="14.1" customHeight="1" x14ac:dyDescent="0.2">
      <c r="A551" s="20"/>
      <c r="B551" s="20"/>
      <c r="C551" s="4" t="str">
        <f>C545</f>
        <v>Debt Reserve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39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f>SUM(D551:O551)</f>
        <v>0</v>
      </c>
    </row>
    <row r="552" spans="1:16" ht="14.1" customHeight="1" x14ac:dyDescent="0.2">
      <c r="C552" s="4" t="str">
        <f>C546</f>
        <v>Treasury Fee</v>
      </c>
      <c r="D552" s="47">
        <v>250</v>
      </c>
      <c r="E552" s="47"/>
      <c r="F552" s="47"/>
      <c r="G552" s="47"/>
      <c r="H552" s="47"/>
      <c r="I552" s="47"/>
      <c r="J552" s="47"/>
      <c r="K552" s="55"/>
      <c r="L552" s="47"/>
      <c r="M552" s="47"/>
      <c r="N552" s="47"/>
      <c r="O552" s="47"/>
      <c r="P552" s="26">
        <f>SUM(D552:O552)</f>
        <v>250</v>
      </c>
    </row>
    <row r="553" spans="1:16" ht="14.1" customHeight="1" thickBot="1" x14ac:dyDescent="0.25">
      <c r="C553" s="4" t="str">
        <f>C547</f>
        <v>Intercept</v>
      </c>
      <c r="D553" s="47">
        <f>5833.33+97780.63</f>
        <v>103613.96</v>
      </c>
      <c r="E553" s="47">
        <f t="shared" ref="E553:O553" si="50">5833.33+97780.63</f>
        <v>103613.96</v>
      </c>
      <c r="F553" s="47">
        <f t="shared" si="50"/>
        <v>103613.96</v>
      </c>
      <c r="G553" s="47">
        <f t="shared" si="50"/>
        <v>103613.96</v>
      </c>
      <c r="H553" s="47">
        <f t="shared" si="50"/>
        <v>103613.96</v>
      </c>
      <c r="I553" s="47">
        <f t="shared" si="50"/>
        <v>103613.96</v>
      </c>
      <c r="J553" s="47">
        <f t="shared" si="50"/>
        <v>103613.96</v>
      </c>
      <c r="K553" s="55">
        <f t="shared" si="50"/>
        <v>103613.96</v>
      </c>
      <c r="L553" s="47">
        <f t="shared" si="50"/>
        <v>103613.96</v>
      </c>
      <c r="M553" s="47">
        <f t="shared" si="50"/>
        <v>103613.96</v>
      </c>
      <c r="N553" s="47">
        <f t="shared" si="50"/>
        <v>103613.96</v>
      </c>
      <c r="O553" s="47">
        <f t="shared" si="50"/>
        <v>103613.96</v>
      </c>
      <c r="P553" s="26">
        <f>SUM(D553:O553)</f>
        <v>1243367.5199999998</v>
      </c>
    </row>
    <row r="554" spans="1:16" ht="14.1" customHeight="1" thickBot="1" x14ac:dyDescent="0.25">
      <c r="C554" s="6" t="s">
        <v>102</v>
      </c>
      <c r="D554" s="27">
        <f t="shared" ref="D554:P554" si="51">SUM(D551:D553)</f>
        <v>103863.96</v>
      </c>
      <c r="E554" s="27">
        <f t="shared" si="51"/>
        <v>103613.96</v>
      </c>
      <c r="F554" s="27">
        <f t="shared" si="51"/>
        <v>103613.96</v>
      </c>
      <c r="G554" s="27">
        <f t="shared" si="51"/>
        <v>103613.96</v>
      </c>
      <c r="H554" s="27">
        <f t="shared" si="51"/>
        <v>103613.96</v>
      </c>
      <c r="I554" s="27">
        <f t="shared" si="51"/>
        <v>103613.96</v>
      </c>
      <c r="J554" s="27">
        <f t="shared" si="51"/>
        <v>103613.96</v>
      </c>
      <c r="K554" s="40">
        <f t="shared" si="51"/>
        <v>103613.96</v>
      </c>
      <c r="L554" s="27">
        <f t="shared" si="51"/>
        <v>103613.96</v>
      </c>
      <c r="M554" s="27">
        <f t="shared" si="51"/>
        <v>103613.96</v>
      </c>
      <c r="N554" s="27">
        <f t="shared" si="51"/>
        <v>103613.96</v>
      </c>
      <c r="O554" s="27">
        <f t="shared" si="51"/>
        <v>103613.96</v>
      </c>
      <c r="P554" s="27">
        <f t="shared" si="51"/>
        <v>1243617.5199999998</v>
      </c>
    </row>
    <row r="555" spans="1:16" ht="14.1" customHeight="1" x14ac:dyDescent="0.2">
      <c r="C555" s="12"/>
    </row>
    <row r="556" spans="1:16" ht="14.1" customHeight="1" x14ac:dyDescent="0.25">
      <c r="A556" s="16"/>
      <c r="B556" s="42" t="s">
        <v>105</v>
      </c>
      <c r="C556" s="30" t="s">
        <v>182</v>
      </c>
    </row>
    <row r="557" spans="1:16" ht="14.1" customHeight="1" x14ac:dyDescent="0.2">
      <c r="A557" s="20"/>
      <c r="B557" s="20"/>
      <c r="C557" s="4" t="str">
        <f>C551</f>
        <v>Debt Reserve</v>
      </c>
      <c r="D557" s="43"/>
      <c r="E557" s="43"/>
      <c r="F557" s="43"/>
      <c r="G557" s="43"/>
      <c r="H557" s="43"/>
      <c r="I557" s="43"/>
      <c r="J557" s="43"/>
      <c r="L557" s="43"/>
      <c r="M557" s="43"/>
      <c r="N557" s="43"/>
      <c r="O557" s="43"/>
      <c r="P557" s="43"/>
    </row>
    <row r="558" spans="1:16" ht="14.1" customHeight="1" x14ac:dyDescent="0.2">
      <c r="C558" s="4" t="str">
        <f>C552</f>
        <v>Treasury Fee</v>
      </c>
    </row>
    <row r="559" spans="1:16" ht="14.1" customHeight="1" thickBot="1" x14ac:dyDescent="0.25">
      <c r="C559" s="4" t="str">
        <f>C553</f>
        <v>Intercept</v>
      </c>
    </row>
    <row r="560" spans="1:16" ht="14.1" customHeight="1" thickBot="1" x14ac:dyDescent="0.25">
      <c r="C560" s="6" t="s">
        <v>183</v>
      </c>
    </row>
    <row r="561" spans="1:16" ht="14.1" customHeight="1" x14ac:dyDescent="0.2">
      <c r="C561" s="12"/>
    </row>
    <row r="562" spans="1:16" ht="14.1" customHeight="1" x14ac:dyDescent="0.25">
      <c r="A562" s="16"/>
      <c r="B562" s="42" t="s">
        <v>105</v>
      </c>
      <c r="C562" s="30" t="s">
        <v>184</v>
      </c>
    </row>
    <row r="563" spans="1:16" ht="14.1" customHeight="1" x14ac:dyDescent="0.2">
      <c r="A563" s="20"/>
      <c r="B563" s="20"/>
      <c r="C563" s="4" t="str">
        <f>C557</f>
        <v>Debt Reserve</v>
      </c>
      <c r="D563" s="43"/>
      <c r="E563" s="43"/>
      <c r="F563" s="43"/>
      <c r="G563" s="43"/>
      <c r="H563" s="43"/>
      <c r="I563" s="43"/>
      <c r="J563" s="43"/>
      <c r="L563" s="43"/>
      <c r="M563" s="43"/>
      <c r="N563" s="43"/>
      <c r="O563" s="43"/>
      <c r="P563" s="43"/>
    </row>
    <row r="564" spans="1:16" ht="14.1" customHeight="1" x14ac:dyDescent="0.2">
      <c r="C564" s="4" t="str">
        <f>C558</f>
        <v>Treasury Fee</v>
      </c>
    </row>
    <row r="565" spans="1:16" ht="14.1" customHeight="1" thickBot="1" x14ac:dyDescent="0.25">
      <c r="C565" s="4" t="str">
        <f>C559</f>
        <v>Intercept</v>
      </c>
    </row>
    <row r="566" spans="1:16" ht="14.1" customHeight="1" thickBot="1" x14ac:dyDescent="0.25">
      <c r="C566" s="6" t="s">
        <v>185</v>
      </c>
    </row>
    <row r="567" spans="1:16" ht="14.1" customHeight="1" x14ac:dyDescent="0.2">
      <c r="C567" s="12"/>
    </row>
    <row r="568" spans="1:16" ht="14.1" customHeight="1" x14ac:dyDescent="0.25">
      <c r="A568" s="16"/>
      <c r="B568" s="42" t="s">
        <v>105</v>
      </c>
      <c r="C568" s="30" t="s">
        <v>186</v>
      </c>
    </row>
    <row r="569" spans="1:16" ht="14.1" customHeight="1" x14ac:dyDescent="0.2">
      <c r="A569" s="20"/>
      <c r="B569" s="20"/>
      <c r="C569" s="4" t="str">
        <f>C563</f>
        <v>Debt Reserve</v>
      </c>
      <c r="D569" s="43"/>
      <c r="E569" s="43"/>
      <c r="F569" s="43"/>
      <c r="G569" s="43"/>
      <c r="H569" s="43"/>
      <c r="I569" s="43"/>
      <c r="J569" s="43"/>
      <c r="L569" s="43"/>
      <c r="M569" s="43"/>
      <c r="N569" s="43"/>
      <c r="O569" s="43"/>
      <c r="P569" s="43"/>
    </row>
    <row r="570" spans="1:16" ht="14.1" customHeight="1" x14ac:dyDescent="0.2">
      <c r="C570" s="4" t="str">
        <f>C564</f>
        <v>Treasury Fee</v>
      </c>
    </row>
    <row r="571" spans="1:16" ht="14.1" customHeight="1" thickBot="1" x14ac:dyDescent="0.25">
      <c r="C571" s="4" t="str">
        <f>C565</f>
        <v>Intercept</v>
      </c>
    </row>
    <row r="572" spans="1:16" ht="14.1" customHeight="1" thickBot="1" x14ac:dyDescent="0.25">
      <c r="C572" s="6" t="s">
        <v>187</v>
      </c>
    </row>
    <row r="573" spans="1:16" ht="14.1" customHeight="1" x14ac:dyDescent="0.2">
      <c r="C573" s="12"/>
    </row>
    <row r="574" spans="1:16" ht="14.1" customHeight="1" x14ac:dyDescent="0.25">
      <c r="A574" s="16">
        <f>+A550+1</f>
        <v>27</v>
      </c>
      <c r="B574" s="21"/>
      <c r="C574" s="5" t="s">
        <v>188</v>
      </c>
    </row>
    <row r="575" spans="1:16" ht="14.1" customHeight="1" x14ac:dyDescent="0.2">
      <c r="A575" s="20"/>
      <c r="B575" s="20"/>
      <c r="C575" s="4" t="str">
        <f>C569</f>
        <v>Debt Reserve</v>
      </c>
      <c r="D575" s="26">
        <v>1172.5</v>
      </c>
      <c r="E575" s="26">
        <v>1172.5</v>
      </c>
      <c r="F575" s="26">
        <v>1172.5</v>
      </c>
      <c r="G575" s="26">
        <v>1172.5</v>
      </c>
      <c r="H575" s="26">
        <v>1172.5</v>
      </c>
      <c r="I575" s="26">
        <v>1172.5</v>
      </c>
      <c r="J575" s="26">
        <v>1172.5</v>
      </c>
      <c r="K575" s="39">
        <v>1172.5</v>
      </c>
      <c r="L575" s="47">
        <v>1147.08</v>
      </c>
      <c r="M575" s="47">
        <v>1147.08</v>
      </c>
      <c r="N575" s="47">
        <v>1147.08</v>
      </c>
      <c r="O575" s="47">
        <v>1147.08</v>
      </c>
      <c r="P575" s="26">
        <f>SUM(D575:O575)</f>
        <v>13968.32</v>
      </c>
    </row>
    <row r="576" spans="1:16" ht="14.1" customHeight="1" x14ac:dyDescent="0.2">
      <c r="C576" s="4" t="str">
        <f>C570</f>
        <v>Treasury Fee</v>
      </c>
      <c r="D576" s="47">
        <v>250</v>
      </c>
      <c r="E576" s="47"/>
      <c r="F576" s="47"/>
      <c r="G576" s="47"/>
      <c r="H576" s="47"/>
      <c r="I576" s="47"/>
      <c r="J576" s="47"/>
      <c r="K576" s="55"/>
      <c r="L576" s="47"/>
      <c r="M576" s="47"/>
      <c r="N576" s="47"/>
      <c r="O576" s="47"/>
      <c r="P576" s="26">
        <f>SUM(D576:O576)</f>
        <v>250</v>
      </c>
    </row>
    <row r="577" spans="1:16" ht="14.1" customHeight="1" thickBot="1" x14ac:dyDescent="0.25">
      <c r="C577" s="4" t="str">
        <f>C571</f>
        <v>Intercept</v>
      </c>
      <c r="D577" s="26">
        <f t="shared" ref="D577:I577" si="52">27500+61980.21</f>
        <v>89480.209999999992</v>
      </c>
      <c r="E577" s="26">
        <f t="shared" si="52"/>
        <v>89480.209999999992</v>
      </c>
      <c r="F577" s="26">
        <f t="shared" si="52"/>
        <v>89480.209999999992</v>
      </c>
      <c r="G577" s="26">
        <f t="shared" si="52"/>
        <v>89480.209999999992</v>
      </c>
      <c r="H577" s="26">
        <f t="shared" si="52"/>
        <v>89480.209999999992</v>
      </c>
      <c r="I577" s="26">
        <f t="shared" si="52"/>
        <v>89480.209999999992</v>
      </c>
      <c r="J577" s="47">
        <f>29166.67+60846.36</f>
        <v>90013.03</v>
      </c>
      <c r="K577" s="55">
        <f>29166.67+60846.36</f>
        <v>90013.03</v>
      </c>
      <c r="L577" s="47">
        <f>29166.67+60846.36</f>
        <v>90013.03</v>
      </c>
      <c r="M577" s="47">
        <f>29166.67+60846.36</f>
        <v>90013.03</v>
      </c>
      <c r="N577" s="47">
        <f>29166.67+60846.36</f>
        <v>90013.03</v>
      </c>
      <c r="O577" s="47">
        <f>29166.67+60846.33</f>
        <v>90013</v>
      </c>
      <c r="P577" s="26">
        <f>SUM(D577:O577)</f>
        <v>1076959.4100000001</v>
      </c>
    </row>
    <row r="578" spans="1:16" ht="14.1" customHeight="1" thickBot="1" x14ac:dyDescent="0.25">
      <c r="C578" s="6" t="s">
        <v>189</v>
      </c>
      <c r="D578" s="27">
        <f t="shared" ref="D578:P578" si="53">SUM(D575:D577)</f>
        <v>90902.709999999992</v>
      </c>
      <c r="E578" s="27">
        <f t="shared" si="53"/>
        <v>90652.709999999992</v>
      </c>
      <c r="F578" s="27">
        <f t="shared" si="53"/>
        <v>90652.709999999992</v>
      </c>
      <c r="G578" s="27">
        <f t="shared" si="53"/>
        <v>90652.709999999992</v>
      </c>
      <c r="H578" s="27">
        <f t="shared" si="53"/>
        <v>90652.709999999992</v>
      </c>
      <c r="I578" s="27">
        <f t="shared" si="53"/>
        <v>90652.709999999992</v>
      </c>
      <c r="J578" s="27">
        <f t="shared" si="53"/>
        <v>91185.53</v>
      </c>
      <c r="K578" s="40">
        <f t="shared" si="53"/>
        <v>91185.53</v>
      </c>
      <c r="L578" s="27">
        <f t="shared" si="53"/>
        <v>91160.11</v>
      </c>
      <c r="M578" s="27">
        <f t="shared" si="53"/>
        <v>91160.11</v>
      </c>
      <c r="N578" s="27">
        <f t="shared" si="53"/>
        <v>91160.11</v>
      </c>
      <c r="O578" s="27">
        <f t="shared" si="53"/>
        <v>91160.08</v>
      </c>
      <c r="P578" s="27">
        <f t="shared" si="53"/>
        <v>1091177.7300000002</v>
      </c>
    </row>
    <row r="579" spans="1:16" ht="14.1" customHeight="1" x14ac:dyDescent="0.2">
      <c r="C579" s="12"/>
    </row>
    <row r="580" spans="1:16" ht="14.1" customHeight="1" x14ac:dyDescent="0.25">
      <c r="A580" s="16">
        <f>+A574+1</f>
        <v>28</v>
      </c>
      <c r="B580" s="21"/>
      <c r="C580" s="5" t="s">
        <v>190</v>
      </c>
    </row>
    <row r="581" spans="1:16" ht="14.1" customHeight="1" x14ac:dyDescent="0.2">
      <c r="A581" s="20"/>
      <c r="B581" s="20"/>
      <c r="C581" s="4" t="str">
        <f>C575</f>
        <v>Debt Reserve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39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f>SUM(D581:O581)</f>
        <v>0</v>
      </c>
    </row>
    <row r="582" spans="1:16" ht="14.1" customHeight="1" x14ac:dyDescent="0.2">
      <c r="C582" s="4" t="str">
        <f>C576</f>
        <v>Treasury Fee</v>
      </c>
      <c r="D582" s="47">
        <v>250</v>
      </c>
      <c r="E582" s="47"/>
      <c r="F582" s="47"/>
      <c r="G582" s="47"/>
      <c r="H582" s="47"/>
      <c r="I582" s="47"/>
      <c r="J582" s="47"/>
      <c r="K582" s="55"/>
      <c r="L582" s="47"/>
      <c r="M582" s="47"/>
      <c r="N582" s="47"/>
      <c r="O582" s="47"/>
      <c r="P582" s="26">
        <f>SUM(D582:O582)</f>
        <v>250</v>
      </c>
    </row>
    <row r="583" spans="1:16" ht="14.1" customHeight="1" thickBot="1" x14ac:dyDescent="0.25">
      <c r="C583" s="4" t="str">
        <f>C577</f>
        <v>Intercept</v>
      </c>
      <c r="D583" s="47">
        <f>19663.34+19661.16</f>
        <v>39324.5</v>
      </c>
      <c r="E583" s="47">
        <f>20056.62+19267.91</f>
        <v>39324.53</v>
      </c>
      <c r="F583" s="47">
        <f>20056.62+19267.91</f>
        <v>39324.53</v>
      </c>
      <c r="G583" s="47">
        <f>20056.62+19267.91</f>
        <v>39324.53</v>
      </c>
      <c r="H583" s="47">
        <f>20056.62+19267.91</f>
        <v>39324.53</v>
      </c>
      <c r="I583" s="47">
        <f>20056.62+19267.91</f>
        <v>39324.53</v>
      </c>
      <c r="J583" s="47">
        <f>20056.6+19267.91</f>
        <v>39324.509999999995</v>
      </c>
      <c r="K583" s="55">
        <f>20457.75+18866.78</f>
        <v>39324.53</v>
      </c>
      <c r="L583" s="47">
        <f>20457.75+18866.78</f>
        <v>39324.53</v>
      </c>
      <c r="M583" s="47">
        <f>20457.75+18866.78</f>
        <v>39324.53</v>
      </c>
      <c r="N583" s="47">
        <f>20457.75+18866.78</f>
        <v>39324.53</v>
      </c>
      <c r="O583" s="47">
        <f>20457.75+18866.78</f>
        <v>39324.53</v>
      </c>
      <c r="P583" s="26">
        <f>SUM(D583:O583)</f>
        <v>471894.31000000006</v>
      </c>
    </row>
    <row r="584" spans="1:16" ht="14.1" customHeight="1" thickBot="1" x14ac:dyDescent="0.25">
      <c r="C584" s="6" t="s">
        <v>191</v>
      </c>
      <c r="D584" s="27">
        <f t="shared" ref="D584:P584" si="54">SUM(D581:D583)</f>
        <v>39574.5</v>
      </c>
      <c r="E584" s="27">
        <f t="shared" si="54"/>
        <v>39324.53</v>
      </c>
      <c r="F584" s="27">
        <f t="shared" si="54"/>
        <v>39324.53</v>
      </c>
      <c r="G584" s="27">
        <f t="shared" si="54"/>
        <v>39324.53</v>
      </c>
      <c r="H584" s="27">
        <f t="shared" si="54"/>
        <v>39324.53</v>
      </c>
      <c r="I584" s="27">
        <f t="shared" si="54"/>
        <v>39324.53</v>
      </c>
      <c r="J584" s="27">
        <f t="shared" si="54"/>
        <v>39324.509999999995</v>
      </c>
      <c r="K584" s="40">
        <f t="shared" si="54"/>
        <v>39324.53</v>
      </c>
      <c r="L584" s="27">
        <f t="shared" si="54"/>
        <v>39324.53</v>
      </c>
      <c r="M584" s="27">
        <f t="shared" si="54"/>
        <v>39324.53</v>
      </c>
      <c r="N584" s="27">
        <f t="shared" si="54"/>
        <v>39324.53</v>
      </c>
      <c r="O584" s="27">
        <f t="shared" si="54"/>
        <v>39324.53</v>
      </c>
      <c r="P584" s="27">
        <f t="shared" si="54"/>
        <v>472144.31000000006</v>
      </c>
    </row>
    <row r="585" spans="1:16" ht="14.1" customHeight="1" x14ac:dyDescent="0.2">
      <c r="C585" s="12"/>
    </row>
    <row r="586" spans="1:16" ht="14.1" customHeight="1" x14ac:dyDescent="0.25">
      <c r="A586" s="16">
        <f>+A580+1</f>
        <v>29</v>
      </c>
      <c r="B586" s="21"/>
      <c r="C586" s="5" t="s">
        <v>192</v>
      </c>
    </row>
    <row r="587" spans="1:16" ht="14.1" customHeight="1" x14ac:dyDescent="0.2">
      <c r="A587" s="20"/>
      <c r="B587" s="20"/>
      <c r="C587" s="4" t="str">
        <f>C581</f>
        <v>Debt Reserve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39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f>SUM(D587:O587)</f>
        <v>0</v>
      </c>
    </row>
    <row r="588" spans="1:16" ht="14.1" customHeight="1" x14ac:dyDescent="0.2">
      <c r="C588" s="4" t="str">
        <f>C582</f>
        <v>Treasury Fee</v>
      </c>
      <c r="D588" s="47">
        <v>250</v>
      </c>
      <c r="E588" s="47"/>
      <c r="F588" s="47"/>
      <c r="G588" s="47"/>
      <c r="H588" s="47"/>
      <c r="I588" s="47"/>
      <c r="J588" s="47"/>
      <c r="K588" s="55"/>
      <c r="L588" s="47"/>
      <c r="M588" s="47"/>
      <c r="N588" s="47"/>
      <c r="O588" s="47"/>
      <c r="P588" s="26">
        <f>SUM(D588:O588)</f>
        <v>250</v>
      </c>
    </row>
    <row r="589" spans="1:16" ht="14.1" customHeight="1" thickBot="1" x14ac:dyDescent="0.25">
      <c r="C589" s="4" t="str">
        <f>C583</f>
        <v>Intercept</v>
      </c>
      <c r="D589" s="47">
        <f>4500+15671.04</f>
        <v>20171.04</v>
      </c>
      <c r="E589" s="47">
        <f>4500+15671.04</f>
        <v>20171.04</v>
      </c>
      <c r="F589" s="47">
        <f>4500+15671.04</f>
        <v>20171.04</v>
      </c>
      <c r="G589" s="47">
        <f>4500+15671.05</f>
        <v>20171.05</v>
      </c>
      <c r="H589" s="47">
        <f>4166.67+15470.42</f>
        <v>19637.09</v>
      </c>
      <c r="I589" s="47">
        <f t="shared" ref="I589:O589" si="55">4166.67+15470.42</f>
        <v>19637.09</v>
      </c>
      <c r="J589" s="47">
        <f t="shared" si="55"/>
        <v>19637.09</v>
      </c>
      <c r="K589" s="55">
        <f t="shared" si="55"/>
        <v>19637.09</v>
      </c>
      <c r="L589" s="47">
        <f t="shared" si="55"/>
        <v>19637.09</v>
      </c>
      <c r="M589" s="47">
        <f>4166.67+15470.4</f>
        <v>19637.07</v>
      </c>
      <c r="N589" s="47">
        <f t="shared" si="55"/>
        <v>19637.09</v>
      </c>
      <c r="O589" s="47">
        <f t="shared" si="55"/>
        <v>19637.09</v>
      </c>
      <c r="P589" s="26">
        <f>SUM(D589:O589)</f>
        <v>237780.87</v>
      </c>
    </row>
    <row r="590" spans="1:16" ht="14.1" customHeight="1" thickBot="1" x14ac:dyDescent="0.25">
      <c r="C590" s="6" t="s">
        <v>193</v>
      </c>
      <c r="D590" s="27">
        <f t="shared" ref="D590:P590" si="56">SUM(D587:D589)</f>
        <v>20421.04</v>
      </c>
      <c r="E590" s="27">
        <f t="shared" si="56"/>
        <v>20171.04</v>
      </c>
      <c r="F590" s="27">
        <f t="shared" si="56"/>
        <v>20171.04</v>
      </c>
      <c r="G590" s="27">
        <f t="shared" si="56"/>
        <v>20171.05</v>
      </c>
      <c r="H590" s="27">
        <f t="shared" si="56"/>
        <v>19637.09</v>
      </c>
      <c r="I590" s="27">
        <f t="shared" si="56"/>
        <v>19637.09</v>
      </c>
      <c r="J590" s="27">
        <f t="shared" si="56"/>
        <v>19637.09</v>
      </c>
      <c r="K590" s="40">
        <f t="shared" si="56"/>
        <v>19637.09</v>
      </c>
      <c r="L590" s="27">
        <f t="shared" si="56"/>
        <v>19637.09</v>
      </c>
      <c r="M590" s="27">
        <f t="shared" si="56"/>
        <v>19637.07</v>
      </c>
      <c r="N590" s="27">
        <f t="shared" si="56"/>
        <v>19637.09</v>
      </c>
      <c r="O590" s="27">
        <f t="shared" si="56"/>
        <v>19637.09</v>
      </c>
      <c r="P590" s="27">
        <f t="shared" si="56"/>
        <v>238030.87</v>
      </c>
    </row>
    <row r="591" spans="1:16" ht="14.1" customHeight="1" x14ac:dyDescent="0.2">
      <c r="C591" s="12"/>
    </row>
    <row r="592" spans="1:16" ht="14.1" customHeight="1" x14ac:dyDescent="0.25">
      <c r="A592" s="16">
        <f>+A586+1</f>
        <v>30</v>
      </c>
      <c r="B592" s="21"/>
      <c r="C592" s="5" t="s">
        <v>194</v>
      </c>
    </row>
    <row r="593" spans="1:16" ht="14.1" customHeight="1" x14ac:dyDescent="0.2">
      <c r="A593" s="20"/>
      <c r="B593" s="20"/>
      <c r="C593" s="4" t="str">
        <f>C587</f>
        <v>Debt Reserve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39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f>SUM(D593:O593)</f>
        <v>0</v>
      </c>
    </row>
    <row r="594" spans="1:16" ht="14.1" customHeight="1" x14ac:dyDescent="0.2">
      <c r="C594" s="4" t="str">
        <f>C588</f>
        <v>Treasury Fee</v>
      </c>
      <c r="D594" s="47">
        <v>250</v>
      </c>
      <c r="E594" s="47"/>
      <c r="F594" s="47"/>
      <c r="G594" s="47"/>
      <c r="H594" s="47"/>
      <c r="I594" s="47"/>
      <c r="J594" s="47"/>
      <c r="K594" s="55"/>
      <c r="L594" s="47"/>
      <c r="M594" s="47"/>
      <c r="N594" s="47"/>
      <c r="O594" s="47"/>
      <c r="P594" s="26">
        <f>SUM(D594:O594)</f>
        <v>250</v>
      </c>
    </row>
    <row r="595" spans="1:16" ht="14.1" customHeight="1" thickBot="1" x14ac:dyDescent="0.25">
      <c r="C595" s="4" t="str">
        <f>C589</f>
        <v>Intercept</v>
      </c>
      <c r="D595" s="47">
        <f t="shared" ref="D595:M595" si="57">33750+123610.42</f>
        <v>157360.41999999998</v>
      </c>
      <c r="E595" s="47">
        <f t="shared" si="57"/>
        <v>157360.41999999998</v>
      </c>
      <c r="F595" s="47">
        <f t="shared" si="57"/>
        <v>157360.41999999998</v>
      </c>
      <c r="G595" s="47">
        <f t="shared" si="57"/>
        <v>157360.41999999998</v>
      </c>
      <c r="H595" s="47">
        <f t="shared" si="57"/>
        <v>157360.41999999998</v>
      </c>
      <c r="I595" s="47">
        <f t="shared" si="57"/>
        <v>157360.41999999998</v>
      </c>
      <c r="J595" s="47">
        <f t="shared" si="57"/>
        <v>157360.41999999998</v>
      </c>
      <c r="K595" s="55">
        <f t="shared" si="57"/>
        <v>157360.41999999998</v>
      </c>
      <c r="L595" s="47">
        <f t="shared" si="57"/>
        <v>157360.41999999998</v>
      </c>
      <c r="M595" s="47">
        <f t="shared" si="57"/>
        <v>157360.41999999998</v>
      </c>
      <c r="N595" s="47">
        <f>35833.33+122218.23</f>
        <v>158051.56</v>
      </c>
      <c r="O595" s="47">
        <f>35833.33+122218.23</f>
        <v>158051.56</v>
      </c>
      <c r="P595" s="26">
        <f>SUM(D595:O595)</f>
        <v>1889707.3199999996</v>
      </c>
    </row>
    <row r="596" spans="1:16" ht="14.1" customHeight="1" thickBot="1" x14ac:dyDescent="0.25">
      <c r="C596" s="6" t="s">
        <v>161</v>
      </c>
      <c r="D596" s="27">
        <f t="shared" ref="D596:P596" si="58">SUM(D593:D595)</f>
        <v>157610.41999999998</v>
      </c>
      <c r="E596" s="27">
        <f t="shared" si="58"/>
        <v>157360.41999999998</v>
      </c>
      <c r="F596" s="27">
        <f t="shared" si="58"/>
        <v>157360.41999999998</v>
      </c>
      <c r="G596" s="27">
        <f t="shared" si="58"/>
        <v>157360.41999999998</v>
      </c>
      <c r="H596" s="27">
        <f t="shared" si="58"/>
        <v>157360.41999999998</v>
      </c>
      <c r="I596" s="27">
        <f t="shared" si="58"/>
        <v>157360.41999999998</v>
      </c>
      <c r="J596" s="27">
        <f t="shared" si="58"/>
        <v>157360.41999999998</v>
      </c>
      <c r="K596" s="40">
        <f t="shared" si="58"/>
        <v>157360.41999999998</v>
      </c>
      <c r="L596" s="27">
        <f t="shared" si="58"/>
        <v>157360.41999999998</v>
      </c>
      <c r="M596" s="27">
        <f t="shared" si="58"/>
        <v>157360.41999999998</v>
      </c>
      <c r="N596" s="27">
        <f t="shared" si="58"/>
        <v>158051.56</v>
      </c>
      <c r="O596" s="27">
        <f t="shared" si="58"/>
        <v>158051.56</v>
      </c>
      <c r="P596" s="27">
        <f t="shared" si="58"/>
        <v>1889957.3199999996</v>
      </c>
    </row>
    <row r="597" spans="1:16" ht="14.1" customHeight="1" x14ac:dyDescent="0.2">
      <c r="C597" s="12"/>
    </row>
    <row r="598" spans="1:16" ht="14.1" customHeight="1" x14ac:dyDescent="0.25">
      <c r="A598" s="16">
        <f>+A592+1</f>
        <v>31</v>
      </c>
      <c r="B598" s="21"/>
      <c r="C598" s="5" t="s">
        <v>195</v>
      </c>
    </row>
    <row r="599" spans="1:16" ht="14.1" customHeight="1" x14ac:dyDescent="0.2">
      <c r="A599" s="20"/>
      <c r="B599" s="20"/>
      <c r="C599" s="4" t="str">
        <f>C593</f>
        <v>Debt Reserve</v>
      </c>
      <c r="D599" s="47">
        <v>1285.42</v>
      </c>
      <c r="E599" s="47">
        <v>1285.42</v>
      </c>
      <c r="F599" s="47">
        <v>1285.42</v>
      </c>
      <c r="G599" s="47">
        <v>1285.42</v>
      </c>
      <c r="H599" s="47">
        <v>1285.42</v>
      </c>
      <c r="I599" s="47">
        <v>1285.42</v>
      </c>
      <c r="J599" s="47">
        <v>1285.42</v>
      </c>
      <c r="K599" s="55">
        <v>1285.42</v>
      </c>
      <c r="L599" s="47">
        <v>1285.42</v>
      </c>
      <c r="M599" s="47">
        <v>1285.42</v>
      </c>
      <c r="N599" s="47">
        <v>1285.42</v>
      </c>
      <c r="O599" s="47">
        <v>1285.42</v>
      </c>
      <c r="P599" s="26">
        <f>SUM(D599:O599)</f>
        <v>15425.04</v>
      </c>
    </row>
    <row r="600" spans="1:16" ht="14.1" customHeight="1" x14ac:dyDescent="0.2">
      <c r="C600" s="4" t="str">
        <f>C594</f>
        <v>Treasury Fee</v>
      </c>
      <c r="D600" s="47">
        <v>250</v>
      </c>
      <c r="E600" s="47"/>
      <c r="F600" s="47"/>
      <c r="G600" s="47"/>
      <c r="H600" s="47"/>
      <c r="I600" s="47"/>
      <c r="J600" s="47"/>
      <c r="K600" s="55"/>
      <c r="L600" s="47"/>
      <c r="M600" s="47"/>
      <c r="N600" s="47"/>
      <c r="O600" s="47"/>
      <c r="P600" s="26">
        <f>SUM(D600:O600)</f>
        <v>250</v>
      </c>
    </row>
    <row r="601" spans="1:16" ht="14.1" customHeight="1" thickBot="1" x14ac:dyDescent="0.25">
      <c r="C601" s="4" t="str">
        <f>C595</f>
        <v>Intercept</v>
      </c>
      <c r="D601" s="47">
        <f>54583.33+63620.83</f>
        <v>118204.16</v>
      </c>
      <c r="E601" s="47">
        <f>56666.67+61479.17</f>
        <v>118145.84</v>
      </c>
      <c r="F601" s="47">
        <f t="shared" ref="F601:O601" si="59">56666.67+61479.17</f>
        <v>118145.84</v>
      </c>
      <c r="G601" s="47">
        <f t="shared" si="59"/>
        <v>118145.84</v>
      </c>
      <c r="H601" s="47">
        <f t="shared" si="59"/>
        <v>118145.84</v>
      </c>
      <c r="I601" s="47">
        <f t="shared" si="59"/>
        <v>118145.84</v>
      </c>
      <c r="J601" s="47">
        <f t="shared" si="59"/>
        <v>118145.84</v>
      </c>
      <c r="K601" s="55">
        <f t="shared" si="59"/>
        <v>118145.84</v>
      </c>
      <c r="L601" s="47">
        <f t="shared" si="59"/>
        <v>118145.84</v>
      </c>
      <c r="M601" s="47">
        <f t="shared" si="59"/>
        <v>118145.84</v>
      </c>
      <c r="N601" s="47">
        <f t="shared" si="59"/>
        <v>118145.84</v>
      </c>
      <c r="O601" s="47">
        <f t="shared" si="59"/>
        <v>118145.84</v>
      </c>
      <c r="P601" s="26">
        <f>SUM(D601:O601)</f>
        <v>1417808.4000000001</v>
      </c>
    </row>
    <row r="602" spans="1:16" ht="14.1" customHeight="1" thickBot="1" x14ac:dyDescent="0.25">
      <c r="C602" s="6" t="s">
        <v>22</v>
      </c>
      <c r="D602" s="27">
        <f t="shared" ref="D602:P602" si="60">SUM(D599:D601)</f>
        <v>119739.58</v>
      </c>
      <c r="E602" s="27">
        <f t="shared" si="60"/>
        <v>119431.26</v>
      </c>
      <c r="F602" s="27">
        <f t="shared" si="60"/>
        <v>119431.26</v>
      </c>
      <c r="G602" s="27">
        <f t="shared" si="60"/>
        <v>119431.26</v>
      </c>
      <c r="H602" s="27">
        <f t="shared" si="60"/>
        <v>119431.26</v>
      </c>
      <c r="I602" s="27">
        <f t="shared" si="60"/>
        <v>119431.26</v>
      </c>
      <c r="J602" s="27">
        <f t="shared" si="60"/>
        <v>119431.26</v>
      </c>
      <c r="K602" s="40">
        <f t="shared" si="60"/>
        <v>119431.26</v>
      </c>
      <c r="L602" s="27">
        <f t="shared" si="60"/>
        <v>119431.26</v>
      </c>
      <c r="M602" s="27">
        <f t="shared" si="60"/>
        <v>119431.26</v>
      </c>
      <c r="N602" s="27">
        <f t="shared" si="60"/>
        <v>119431.26</v>
      </c>
      <c r="O602" s="27">
        <f t="shared" si="60"/>
        <v>119431.26</v>
      </c>
      <c r="P602" s="27">
        <f t="shared" si="60"/>
        <v>1433483.4400000002</v>
      </c>
    </row>
    <row r="603" spans="1:16" ht="14.1" customHeight="1" x14ac:dyDescent="0.2">
      <c r="C603" s="12"/>
    </row>
    <row r="604" spans="1:16" ht="14.1" customHeight="1" x14ac:dyDescent="0.25">
      <c r="A604" s="16">
        <f>+A598+1</f>
        <v>32</v>
      </c>
      <c r="B604" s="21"/>
      <c r="C604" s="5" t="s">
        <v>200</v>
      </c>
    </row>
    <row r="605" spans="1:16" ht="14.1" customHeight="1" x14ac:dyDescent="0.2">
      <c r="A605" s="20"/>
      <c r="B605" s="20"/>
      <c r="C605" s="4" t="str">
        <f>C599</f>
        <v>Debt Reserve</v>
      </c>
      <c r="D605" s="26">
        <v>1730.83</v>
      </c>
      <c r="E605" s="26">
        <v>1730.83</v>
      </c>
      <c r="F605" s="26">
        <v>1730.83</v>
      </c>
      <c r="G605" s="26">
        <v>1730.83</v>
      </c>
      <c r="H605" s="47">
        <v>1695</v>
      </c>
      <c r="I605" s="47">
        <v>1695</v>
      </c>
      <c r="J605" s="47">
        <v>1695</v>
      </c>
      <c r="K605" s="55">
        <v>1695</v>
      </c>
      <c r="L605" s="47">
        <v>1695</v>
      </c>
      <c r="M605" s="47">
        <v>1695</v>
      </c>
      <c r="N605" s="47">
        <v>1695</v>
      </c>
      <c r="O605" s="47">
        <v>1695</v>
      </c>
      <c r="P605" s="26">
        <f>SUM(D605:O605)</f>
        <v>20483.32</v>
      </c>
    </row>
    <row r="606" spans="1:16" ht="14.1" customHeight="1" x14ac:dyDescent="0.2">
      <c r="C606" s="4" t="str">
        <f>C600</f>
        <v>Treasury Fee</v>
      </c>
      <c r="D606" s="47">
        <v>250</v>
      </c>
      <c r="E606" s="47"/>
      <c r="F606" s="47"/>
      <c r="G606" s="47"/>
      <c r="H606" s="47"/>
      <c r="I606" s="47"/>
      <c r="J606" s="47"/>
      <c r="K606" s="55"/>
      <c r="L606" s="47"/>
      <c r="M606" s="47"/>
      <c r="N606" s="47"/>
      <c r="O606" s="47"/>
      <c r="P606" s="26">
        <f>SUM(D606:O606)</f>
        <v>250</v>
      </c>
    </row>
    <row r="607" spans="1:16" ht="14.1" customHeight="1" thickBot="1" x14ac:dyDescent="0.25">
      <c r="C607" s="4" t="str">
        <f>C601</f>
        <v>Intercept</v>
      </c>
      <c r="D607" s="47">
        <f>35833.33+73057.29</f>
        <v>108890.62</v>
      </c>
      <c r="E607" s="47">
        <f>35833.33+73057.29</f>
        <v>108890.62</v>
      </c>
      <c r="F607" s="47">
        <f>35833.33+73057.29</f>
        <v>108890.62</v>
      </c>
      <c r="G607" s="47">
        <f>35833.33+73057.3</f>
        <v>108890.63</v>
      </c>
      <c r="H607" s="47">
        <f>36666.67+71982.29</f>
        <v>108648.95999999999</v>
      </c>
      <c r="I607" s="47">
        <f t="shared" ref="I607:O607" si="61">36666.67+71982.29</f>
        <v>108648.95999999999</v>
      </c>
      <c r="J607" s="47">
        <f t="shared" si="61"/>
        <v>108648.95999999999</v>
      </c>
      <c r="K607" s="55">
        <f t="shared" si="61"/>
        <v>108648.95999999999</v>
      </c>
      <c r="L607" s="47">
        <f t="shared" si="61"/>
        <v>108648.95999999999</v>
      </c>
      <c r="M607" s="47">
        <f>36666.67+71982.3</f>
        <v>108648.97</v>
      </c>
      <c r="N607" s="47">
        <f t="shared" si="61"/>
        <v>108648.95999999999</v>
      </c>
      <c r="O607" s="47">
        <f t="shared" si="61"/>
        <v>108648.95999999999</v>
      </c>
      <c r="P607" s="26">
        <f>SUM(D607:O607)</f>
        <v>1304754.1799999997</v>
      </c>
    </row>
    <row r="608" spans="1:16" ht="14.1" customHeight="1" thickBot="1" x14ac:dyDescent="0.25">
      <c r="C608" s="6" t="s">
        <v>120</v>
      </c>
      <c r="D608" s="27">
        <f t="shared" ref="D608:P608" si="62">SUM(D605:D607)</f>
        <v>110871.45</v>
      </c>
      <c r="E608" s="27">
        <f t="shared" si="62"/>
        <v>110621.45</v>
      </c>
      <c r="F608" s="27">
        <f t="shared" si="62"/>
        <v>110621.45</v>
      </c>
      <c r="G608" s="27">
        <f t="shared" si="62"/>
        <v>110621.46</v>
      </c>
      <c r="H608" s="27">
        <f t="shared" si="62"/>
        <v>110343.95999999999</v>
      </c>
      <c r="I608" s="27">
        <f t="shared" si="62"/>
        <v>110343.95999999999</v>
      </c>
      <c r="J608" s="27">
        <f t="shared" si="62"/>
        <v>110343.95999999999</v>
      </c>
      <c r="K608" s="40">
        <f t="shared" si="62"/>
        <v>110343.95999999999</v>
      </c>
      <c r="L608" s="27">
        <f t="shared" si="62"/>
        <v>110343.95999999999</v>
      </c>
      <c r="M608" s="27">
        <f t="shared" si="62"/>
        <v>110343.97</v>
      </c>
      <c r="N608" s="27">
        <f t="shared" si="62"/>
        <v>110343.95999999999</v>
      </c>
      <c r="O608" s="27">
        <f t="shared" si="62"/>
        <v>110343.95999999999</v>
      </c>
      <c r="P608" s="27">
        <f t="shared" si="62"/>
        <v>1325487.4999999998</v>
      </c>
    </row>
    <row r="609" spans="1:16" ht="14.1" customHeight="1" x14ac:dyDescent="0.2">
      <c r="C609" s="12"/>
    </row>
    <row r="610" spans="1:16" ht="14.1" customHeight="1" x14ac:dyDescent="0.25">
      <c r="A610" s="16">
        <f>+A604+1</f>
        <v>33</v>
      </c>
      <c r="C610" s="5" t="s">
        <v>207</v>
      </c>
    </row>
    <row r="611" spans="1:16" ht="14.1" customHeight="1" x14ac:dyDescent="0.2">
      <c r="C611" s="4" t="s">
        <v>3</v>
      </c>
      <c r="D611" s="26">
        <v>2815.83</v>
      </c>
      <c r="E611" s="26">
        <v>2815.83</v>
      </c>
      <c r="F611" s="26">
        <v>2815.83</v>
      </c>
      <c r="G611" s="26">
        <v>2815.83</v>
      </c>
      <c r="H611" s="26">
        <v>2815.83</v>
      </c>
      <c r="I611" s="26">
        <v>2815.83</v>
      </c>
      <c r="J611" s="47">
        <v>2736.25</v>
      </c>
      <c r="K611" s="55">
        <v>2736.25</v>
      </c>
      <c r="L611" s="47">
        <v>2736.25</v>
      </c>
      <c r="M611" s="47">
        <v>2736.25</v>
      </c>
      <c r="N611" s="47">
        <v>2736.25</v>
      </c>
      <c r="O611" s="47">
        <v>2736.25</v>
      </c>
      <c r="P611" s="26">
        <f>SUM(D611:O611)</f>
        <v>33312.479999999996</v>
      </c>
    </row>
    <row r="612" spans="1:16" ht="14.1" customHeight="1" x14ac:dyDescent="0.2">
      <c r="C612" s="4" t="s">
        <v>4</v>
      </c>
      <c r="D612" s="47">
        <v>250</v>
      </c>
      <c r="E612" s="47"/>
      <c r="F612" s="47"/>
      <c r="G612" s="47"/>
      <c r="H612" s="47"/>
      <c r="I612" s="47"/>
      <c r="J612" s="47"/>
      <c r="K612" s="55"/>
      <c r="L612" s="47"/>
      <c r="M612" s="47"/>
      <c r="N612" s="47"/>
      <c r="O612" s="47"/>
      <c r="P612" s="26">
        <f>SUM(D612:O612)</f>
        <v>250</v>
      </c>
    </row>
    <row r="613" spans="1:16" ht="14.1" customHeight="1" thickBot="1" x14ac:dyDescent="0.25">
      <c r="C613" s="4" t="s">
        <v>5</v>
      </c>
      <c r="D613" s="47">
        <f>79583.33+120518.75</f>
        <v>200102.08000000002</v>
      </c>
      <c r="E613" s="47">
        <f>79583.33+120518.75</f>
        <v>200102.08000000002</v>
      </c>
      <c r="F613" s="47">
        <f>79583.33+120518.75</f>
        <v>200102.08000000002</v>
      </c>
      <c r="G613" s="47">
        <f>79583.33+120518.75</f>
        <v>200102.08000000002</v>
      </c>
      <c r="H613" s="47">
        <f>79583.33+120518.75</f>
        <v>200102.08000000002</v>
      </c>
      <c r="I613" s="47">
        <f>81666.67+118131.25</f>
        <v>199797.91999999998</v>
      </c>
      <c r="J613" s="47">
        <f t="shared" ref="J613:O613" si="63">81666.67+118131.25</f>
        <v>199797.91999999998</v>
      </c>
      <c r="K613" s="55">
        <f t="shared" si="63"/>
        <v>199797.91999999998</v>
      </c>
      <c r="L613" s="47">
        <f t="shared" si="63"/>
        <v>199797.91999999998</v>
      </c>
      <c r="M613" s="47">
        <f t="shared" si="63"/>
        <v>199797.91999999998</v>
      </c>
      <c r="N613" s="47">
        <f t="shared" si="63"/>
        <v>199797.91999999998</v>
      </c>
      <c r="O613" s="47">
        <f t="shared" si="63"/>
        <v>199797.91999999998</v>
      </c>
      <c r="P613" s="26">
        <f>SUM(D613:O613)</f>
        <v>2399095.84</v>
      </c>
    </row>
    <row r="614" spans="1:16" ht="14.1" customHeight="1" thickBot="1" x14ac:dyDescent="0.25">
      <c r="C614" s="6" t="s">
        <v>208</v>
      </c>
      <c r="D614" s="27">
        <f t="shared" ref="D614:P614" si="64">SUM(D611:D613)</f>
        <v>203167.91</v>
      </c>
      <c r="E614" s="27">
        <f t="shared" si="64"/>
        <v>202917.91</v>
      </c>
      <c r="F614" s="27">
        <f t="shared" si="64"/>
        <v>202917.91</v>
      </c>
      <c r="G614" s="27">
        <f t="shared" si="64"/>
        <v>202917.91</v>
      </c>
      <c r="H614" s="27">
        <f t="shared" si="64"/>
        <v>202917.91</v>
      </c>
      <c r="I614" s="27">
        <f t="shared" si="64"/>
        <v>202613.74999999997</v>
      </c>
      <c r="J614" s="27">
        <f t="shared" si="64"/>
        <v>202534.16999999998</v>
      </c>
      <c r="K614" s="40">
        <f t="shared" si="64"/>
        <v>202534.16999999998</v>
      </c>
      <c r="L614" s="27">
        <f t="shared" si="64"/>
        <v>202534.16999999998</v>
      </c>
      <c r="M614" s="27">
        <f t="shared" si="64"/>
        <v>202534.16999999998</v>
      </c>
      <c r="N614" s="27">
        <f t="shared" si="64"/>
        <v>202534.16999999998</v>
      </c>
      <c r="O614" s="27">
        <f t="shared" si="64"/>
        <v>202534.16999999998</v>
      </c>
      <c r="P614" s="27">
        <f t="shared" si="64"/>
        <v>2432658.3199999998</v>
      </c>
    </row>
    <row r="615" spans="1:16" ht="14.1" customHeight="1" x14ac:dyDescent="0.2">
      <c r="C615" s="12"/>
    </row>
    <row r="616" spans="1:16" ht="14.1" customHeight="1" x14ac:dyDescent="0.25">
      <c r="A616" s="16">
        <f>+A610+1</f>
        <v>34</v>
      </c>
      <c r="C616" s="5" t="s">
        <v>201</v>
      </c>
    </row>
    <row r="617" spans="1:16" ht="14.1" customHeight="1" x14ac:dyDescent="0.2">
      <c r="C617" s="4" t="s">
        <v>3</v>
      </c>
      <c r="D617" s="26">
        <v>459.58</v>
      </c>
      <c r="E617" s="26">
        <v>459.58</v>
      </c>
      <c r="F617" s="26">
        <v>459.58</v>
      </c>
      <c r="G617" s="26">
        <v>459.58</v>
      </c>
      <c r="H617" s="47">
        <v>449.58</v>
      </c>
      <c r="I617" s="47">
        <v>449.58</v>
      </c>
      <c r="J617" s="47">
        <v>449.58</v>
      </c>
      <c r="K617" s="55">
        <v>449.58</v>
      </c>
      <c r="L617" s="47">
        <v>449.58</v>
      </c>
      <c r="M617" s="47">
        <v>449.58</v>
      </c>
      <c r="N617" s="47">
        <v>449.58</v>
      </c>
      <c r="O617" s="47">
        <v>449.58</v>
      </c>
      <c r="P617" s="26">
        <f>SUM(D617:O617)</f>
        <v>5434.96</v>
      </c>
    </row>
    <row r="618" spans="1:16" ht="14.1" customHeight="1" x14ac:dyDescent="0.2">
      <c r="C618" s="4" t="s">
        <v>4</v>
      </c>
      <c r="D618" s="47">
        <v>250</v>
      </c>
      <c r="E618" s="47"/>
      <c r="F618" s="47"/>
      <c r="G618" s="47"/>
      <c r="H618" s="47"/>
      <c r="I618" s="47"/>
      <c r="J618" s="47"/>
      <c r="K618" s="55"/>
      <c r="L618" s="47"/>
      <c r="M618" s="47"/>
      <c r="N618" s="47"/>
      <c r="O618" s="47"/>
      <c r="P618" s="26">
        <f>SUM(D618:O618)</f>
        <v>250</v>
      </c>
    </row>
    <row r="619" spans="1:16" ht="14.1" customHeight="1" thickBot="1" x14ac:dyDescent="0.25">
      <c r="C619" s="4" t="s">
        <v>5</v>
      </c>
      <c r="D619" s="47">
        <f>10000+18627.08</f>
        <v>28627.08</v>
      </c>
      <c r="E619" s="47">
        <f>10000+18327.08</f>
        <v>28327.08</v>
      </c>
      <c r="F619" s="47">
        <f t="shared" ref="F619:O619" si="65">10000+18327.08</f>
        <v>28327.08</v>
      </c>
      <c r="G619" s="47">
        <f t="shared" si="65"/>
        <v>28327.08</v>
      </c>
      <c r="H619" s="47">
        <f t="shared" si="65"/>
        <v>28327.08</v>
      </c>
      <c r="I619" s="47">
        <f t="shared" si="65"/>
        <v>28327.08</v>
      </c>
      <c r="J619" s="47">
        <f t="shared" si="65"/>
        <v>28327.08</v>
      </c>
      <c r="K619" s="55">
        <f t="shared" si="65"/>
        <v>28327.08</v>
      </c>
      <c r="L619" s="47">
        <f t="shared" si="65"/>
        <v>28327.08</v>
      </c>
      <c r="M619" s="47">
        <f t="shared" si="65"/>
        <v>28327.08</v>
      </c>
      <c r="N619" s="47">
        <f t="shared" si="65"/>
        <v>28327.08</v>
      </c>
      <c r="O619" s="47">
        <f t="shared" si="65"/>
        <v>28327.08</v>
      </c>
      <c r="P619" s="26">
        <f>SUM(D619:O619)</f>
        <v>340224.96000000014</v>
      </c>
    </row>
    <row r="620" spans="1:16" ht="14.1" customHeight="1" thickBot="1" x14ac:dyDescent="0.25">
      <c r="C620" s="6" t="s">
        <v>202</v>
      </c>
      <c r="D620" s="27">
        <f t="shared" ref="D620:P620" si="66">SUM(D617:D619)</f>
        <v>29336.660000000003</v>
      </c>
      <c r="E620" s="27">
        <f t="shared" si="66"/>
        <v>28786.660000000003</v>
      </c>
      <c r="F620" s="27">
        <f t="shared" si="66"/>
        <v>28786.660000000003</v>
      </c>
      <c r="G620" s="27">
        <f t="shared" si="66"/>
        <v>28786.660000000003</v>
      </c>
      <c r="H620" s="27">
        <f t="shared" si="66"/>
        <v>28776.660000000003</v>
      </c>
      <c r="I620" s="27">
        <f t="shared" si="66"/>
        <v>28776.660000000003</v>
      </c>
      <c r="J620" s="27">
        <f t="shared" si="66"/>
        <v>28776.660000000003</v>
      </c>
      <c r="K620" s="40">
        <f t="shared" si="66"/>
        <v>28776.660000000003</v>
      </c>
      <c r="L620" s="27">
        <f t="shared" si="66"/>
        <v>28776.660000000003</v>
      </c>
      <c r="M620" s="27">
        <f t="shared" si="66"/>
        <v>28776.660000000003</v>
      </c>
      <c r="N620" s="27">
        <f t="shared" si="66"/>
        <v>28776.660000000003</v>
      </c>
      <c r="O620" s="27">
        <f t="shared" si="66"/>
        <v>28776.660000000003</v>
      </c>
      <c r="P620" s="27">
        <f t="shared" si="66"/>
        <v>345909.92000000016</v>
      </c>
    </row>
    <row r="621" spans="1:16" ht="14.1" customHeight="1" x14ac:dyDescent="0.2">
      <c r="C621" s="12"/>
    </row>
    <row r="622" spans="1:16" ht="14.1" customHeight="1" x14ac:dyDescent="0.25">
      <c r="A622" s="16">
        <f>+A616+1</f>
        <v>35</v>
      </c>
      <c r="C622" s="5" t="s">
        <v>203</v>
      </c>
    </row>
    <row r="623" spans="1:16" ht="14.1" customHeight="1" x14ac:dyDescent="0.2">
      <c r="C623" s="4" t="s">
        <v>3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39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f>SUM(D623:O623)</f>
        <v>0</v>
      </c>
    </row>
    <row r="624" spans="1:16" ht="14.1" customHeight="1" x14ac:dyDescent="0.2">
      <c r="C624" s="4" t="s">
        <v>4</v>
      </c>
      <c r="D624" s="47">
        <v>250</v>
      </c>
      <c r="E624" s="47"/>
      <c r="F624" s="47"/>
      <c r="G624" s="47"/>
      <c r="H624" s="47"/>
      <c r="I624" s="47"/>
      <c r="J624" s="47"/>
      <c r="K624" s="55"/>
      <c r="L624" s="47"/>
      <c r="M624" s="47"/>
      <c r="N624" s="47"/>
      <c r="O624" s="47"/>
      <c r="P624" s="26">
        <f>SUM(D624:O624)</f>
        <v>250</v>
      </c>
    </row>
    <row r="625" spans="1:16" ht="14.1" customHeight="1" thickBot="1" x14ac:dyDescent="0.25">
      <c r="C625" s="4" t="s">
        <v>5</v>
      </c>
      <c r="D625" s="47">
        <f>39166.67+60093.35</f>
        <v>99260.01999999999</v>
      </c>
      <c r="E625" s="47">
        <f>39166.67+60093.35</f>
        <v>99260.01999999999</v>
      </c>
      <c r="F625" s="47">
        <f>39166.67+60093.35</f>
        <v>99260.01999999999</v>
      </c>
      <c r="G625" s="47">
        <f>39166.67+60093.35</f>
        <v>99260.01999999999</v>
      </c>
      <c r="H625" s="47">
        <f>40833.33+58624.99</f>
        <v>99458.32</v>
      </c>
      <c r="I625" s="47">
        <f t="shared" ref="I625:O625" si="67">40833.33+58624.99</f>
        <v>99458.32</v>
      </c>
      <c r="J625" s="47">
        <f t="shared" si="67"/>
        <v>99458.32</v>
      </c>
      <c r="K625" s="55">
        <f t="shared" si="67"/>
        <v>99458.32</v>
      </c>
      <c r="L625" s="47">
        <f t="shared" si="67"/>
        <v>99458.32</v>
      </c>
      <c r="M625" s="47">
        <f>40833.33+58624.98</f>
        <v>99458.31</v>
      </c>
      <c r="N625" s="47">
        <f t="shared" si="67"/>
        <v>99458.32</v>
      </c>
      <c r="O625" s="47">
        <f t="shared" si="67"/>
        <v>99458.32</v>
      </c>
      <c r="P625" s="26">
        <f>SUM(D625:O625)</f>
        <v>1192706.6300000004</v>
      </c>
    </row>
    <row r="626" spans="1:16" ht="14.1" customHeight="1" thickBot="1" x14ac:dyDescent="0.25">
      <c r="C626" s="6" t="s">
        <v>156</v>
      </c>
      <c r="D626" s="27">
        <f t="shared" ref="D626:O626" si="68">SUM(D623:D625)</f>
        <v>99510.01999999999</v>
      </c>
      <c r="E626" s="27">
        <f t="shared" si="68"/>
        <v>99260.01999999999</v>
      </c>
      <c r="F626" s="27">
        <f t="shared" si="68"/>
        <v>99260.01999999999</v>
      </c>
      <c r="G626" s="27">
        <f t="shared" si="68"/>
        <v>99260.01999999999</v>
      </c>
      <c r="H626" s="27">
        <f t="shared" si="68"/>
        <v>99458.32</v>
      </c>
      <c r="I626" s="27">
        <f t="shared" si="68"/>
        <v>99458.32</v>
      </c>
      <c r="J626" s="27">
        <f t="shared" si="68"/>
        <v>99458.32</v>
      </c>
      <c r="K626" s="40">
        <f t="shared" si="68"/>
        <v>99458.32</v>
      </c>
      <c r="L626" s="27">
        <f t="shared" si="68"/>
        <v>99458.32</v>
      </c>
      <c r="M626" s="27">
        <f t="shared" si="68"/>
        <v>99458.31</v>
      </c>
      <c r="N626" s="27">
        <f t="shared" si="68"/>
        <v>99458.32</v>
      </c>
      <c r="O626" s="27">
        <f t="shared" si="68"/>
        <v>99458.32</v>
      </c>
      <c r="P626" s="27">
        <f>SUM(P623:P625)</f>
        <v>1192956.6300000004</v>
      </c>
    </row>
    <row r="627" spans="1:16" ht="14.1" customHeight="1" x14ac:dyDescent="0.2">
      <c r="C627" s="12"/>
    </row>
    <row r="628" spans="1:16" ht="14.1" customHeight="1" x14ac:dyDescent="0.25">
      <c r="A628" s="16">
        <f>+A622+1</f>
        <v>36</v>
      </c>
      <c r="C628" s="5" t="s">
        <v>204</v>
      </c>
    </row>
    <row r="629" spans="1:16" ht="14.1" customHeight="1" x14ac:dyDescent="0.2">
      <c r="C629" s="4" t="s">
        <v>3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39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f>SUM(D629:O629)</f>
        <v>0</v>
      </c>
    </row>
    <row r="630" spans="1:16" ht="14.1" customHeight="1" x14ac:dyDescent="0.2">
      <c r="C630" s="4" t="s">
        <v>4</v>
      </c>
      <c r="D630" s="47">
        <v>250</v>
      </c>
      <c r="E630" s="47"/>
      <c r="F630" s="47"/>
      <c r="G630" s="47"/>
      <c r="H630" s="47"/>
      <c r="I630" s="47"/>
      <c r="J630" s="47"/>
      <c r="K630" s="55"/>
      <c r="L630" s="47"/>
      <c r="M630" s="47"/>
      <c r="N630" s="47"/>
      <c r="O630" s="47"/>
      <c r="P630" s="26">
        <f>SUM(D630:O630)</f>
        <v>250</v>
      </c>
    </row>
    <row r="631" spans="1:16" ht="14.1" customHeight="1" thickBot="1" x14ac:dyDescent="0.25">
      <c r="C631" s="4" t="s">
        <v>5</v>
      </c>
      <c r="D631" s="47">
        <f>17083.33+56851.56</f>
        <v>73934.89</v>
      </c>
      <c r="E631" s="47">
        <f>17083.33+56851.56</f>
        <v>73934.89</v>
      </c>
      <c r="F631" s="47">
        <f>17083.33+56851.56</f>
        <v>73934.89</v>
      </c>
      <c r="G631" s="47">
        <f>17083.33+56851.56</f>
        <v>73934.89</v>
      </c>
      <c r="H631" s="47">
        <f>17916.67+56168.23</f>
        <v>74084.899999999994</v>
      </c>
      <c r="I631" s="47">
        <f t="shared" ref="I631:O631" si="69">17916.67+56168.23</f>
        <v>74084.899999999994</v>
      </c>
      <c r="J631" s="47">
        <f t="shared" si="69"/>
        <v>74084.899999999994</v>
      </c>
      <c r="K631" s="55">
        <f t="shared" si="69"/>
        <v>74084.899999999994</v>
      </c>
      <c r="L631" s="47">
        <f t="shared" si="69"/>
        <v>74084.899999999994</v>
      </c>
      <c r="M631" s="47">
        <f t="shared" si="69"/>
        <v>74084.899999999994</v>
      </c>
      <c r="N631" s="47">
        <f t="shared" si="69"/>
        <v>74084.899999999994</v>
      </c>
      <c r="O631" s="47">
        <f t="shared" si="69"/>
        <v>74084.899999999994</v>
      </c>
      <c r="P631" s="26">
        <f>SUM(D631:O631)</f>
        <v>888418.76000000013</v>
      </c>
    </row>
    <row r="632" spans="1:16" ht="14.1" customHeight="1" thickBot="1" x14ac:dyDescent="0.25">
      <c r="C632" s="6" t="s">
        <v>159</v>
      </c>
      <c r="D632" s="27">
        <f t="shared" ref="D632:P632" si="70">SUM(D629:D631)</f>
        <v>74184.89</v>
      </c>
      <c r="E632" s="27">
        <f t="shared" si="70"/>
        <v>73934.89</v>
      </c>
      <c r="F632" s="27">
        <f t="shared" si="70"/>
        <v>73934.89</v>
      </c>
      <c r="G632" s="27">
        <f t="shared" si="70"/>
        <v>73934.89</v>
      </c>
      <c r="H632" s="27">
        <f t="shared" si="70"/>
        <v>74084.899999999994</v>
      </c>
      <c r="I632" s="27">
        <f t="shared" si="70"/>
        <v>74084.899999999994</v>
      </c>
      <c r="J632" s="27">
        <f t="shared" si="70"/>
        <v>74084.899999999994</v>
      </c>
      <c r="K632" s="40">
        <f t="shared" si="70"/>
        <v>74084.899999999994</v>
      </c>
      <c r="L632" s="27">
        <f t="shared" si="70"/>
        <v>74084.899999999994</v>
      </c>
      <c r="M632" s="27">
        <f t="shared" si="70"/>
        <v>74084.899999999994</v>
      </c>
      <c r="N632" s="27">
        <f t="shared" si="70"/>
        <v>74084.899999999994</v>
      </c>
      <c r="O632" s="27">
        <f t="shared" si="70"/>
        <v>74084.899999999994</v>
      </c>
      <c r="P632" s="27">
        <f t="shared" si="70"/>
        <v>888668.76000000013</v>
      </c>
    </row>
    <row r="633" spans="1:16" ht="14.1" customHeight="1" x14ac:dyDescent="0.2">
      <c r="C633" s="12"/>
    </row>
    <row r="634" spans="1:16" ht="14.1" customHeight="1" x14ac:dyDescent="0.25">
      <c r="A634" s="16">
        <f>+A628+1</f>
        <v>37</v>
      </c>
      <c r="C634" s="5" t="s">
        <v>205</v>
      </c>
    </row>
    <row r="635" spans="1:16" ht="14.1" customHeight="1" x14ac:dyDescent="0.2">
      <c r="C635" s="4" t="s">
        <v>3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39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f>SUM(D635:O635)</f>
        <v>0</v>
      </c>
    </row>
    <row r="636" spans="1:16" ht="14.1" customHeight="1" x14ac:dyDescent="0.2">
      <c r="C636" s="4" t="s">
        <v>4</v>
      </c>
      <c r="D636" s="47">
        <v>250</v>
      </c>
      <c r="E636" s="47"/>
      <c r="F636" s="47"/>
      <c r="G636" s="47"/>
      <c r="H636" s="47"/>
      <c r="I636" s="47"/>
      <c r="J636" s="47"/>
      <c r="K636" s="55"/>
      <c r="L636" s="47"/>
      <c r="M636" s="47"/>
      <c r="N636" s="47"/>
      <c r="O636" s="47"/>
      <c r="P636" s="26">
        <f>SUM(D636:O636)</f>
        <v>250</v>
      </c>
    </row>
    <row r="637" spans="1:16" ht="14.1" customHeight="1" thickBot="1" x14ac:dyDescent="0.25">
      <c r="C637" s="4" t="s">
        <v>5</v>
      </c>
      <c r="D637" s="26">
        <f>8750+34837.42</f>
        <v>43587.42</v>
      </c>
      <c r="E637" s="26">
        <f>8750+34837.42</f>
        <v>43587.42</v>
      </c>
      <c r="F637" s="26">
        <f>8750+34837.42</f>
        <v>43587.42</v>
      </c>
      <c r="G637" s="26">
        <f>8750+34837.42</f>
        <v>43587.42</v>
      </c>
      <c r="H637" s="26">
        <f>8750+34837.4</f>
        <v>43587.4</v>
      </c>
      <c r="I637" s="47">
        <f>9166.67+34358.79</f>
        <v>43525.46</v>
      </c>
      <c r="J637" s="47">
        <f t="shared" ref="J637:O637" si="71">9166.67+34358.79</f>
        <v>43525.46</v>
      </c>
      <c r="K637" s="55">
        <f t="shared" si="71"/>
        <v>43525.46</v>
      </c>
      <c r="L637" s="47">
        <f t="shared" si="71"/>
        <v>43525.46</v>
      </c>
      <c r="M637" s="47">
        <f t="shared" si="71"/>
        <v>43525.46</v>
      </c>
      <c r="N637" s="47">
        <f>9166.67+34358.8</f>
        <v>43525.47</v>
      </c>
      <c r="O637" s="47">
        <f t="shared" si="71"/>
        <v>43525.46</v>
      </c>
      <c r="P637" s="26">
        <f>SUM(D637:O637)</f>
        <v>522615.31000000011</v>
      </c>
    </row>
    <row r="638" spans="1:16" ht="14.1" customHeight="1" thickBot="1" x14ac:dyDescent="0.25">
      <c r="C638" s="6" t="s">
        <v>147</v>
      </c>
      <c r="D638" s="27">
        <f t="shared" ref="D638:P638" si="72">SUM(D635:D637)</f>
        <v>43837.42</v>
      </c>
      <c r="E638" s="27">
        <f t="shared" si="72"/>
        <v>43587.42</v>
      </c>
      <c r="F638" s="27">
        <f t="shared" si="72"/>
        <v>43587.42</v>
      </c>
      <c r="G638" s="27">
        <f t="shared" si="72"/>
        <v>43587.42</v>
      </c>
      <c r="H638" s="27">
        <f t="shared" si="72"/>
        <v>43587.4</v>
      </c>
      <c r="I638" s="27">
        <f t="shared" si="72"/>
        <v>43525.46</v>
      </c>
      <c r="J638" s="27">
        <f t="shared" si="72"/>
        <v>43525.46</v>
      </c>
      <c r="K638" s="40">
        <f t="shared" si="72"/>
        <v>43525.46</v>
      </c>
      <c r="L638" s="27">
        <f t="shared" si="72"/>
        <v>43525.46</v>
      </c>
      <c r="M638" s="27">
        <f t="shared" si="72"/>
        <v>43525.46</v>
      </c>
      <c r="N638" s="27">
        <f t="shared" si="72"/>
        <v>43525.47</v>
      </c>
      <c r="O638" s="27">
        <f t="shared" si="72"/>
        <v>43525.46</v>
      </c>
      <c r="P638" s="27">
        <f t="shared" si="72"/>
        <v>522865.31000000011</v>
      </c>
    </row>
    <row r="639" spans="1:16" ht="14.1" customHeight="1" x14ac:dyDescent="0.2">
      <c r="C639" s="12"/>
    </row>
    <row r="640" spans="1:16" ht="14.1" customHeight="1" x14ac:dyDescent="0.25">
      <c r="A640" s="16">
        <f>+A634+1</f>
        <v>38</v>
      </c>
      <c r="C640" s="5" t="s">
        <v>206</v>
      </c>
    </row>
    <row r="641" spans="1:16" ht="14.1" customHeight="1" x14ac:dyDescent="0.2">
      <c r="C641" s="4" t="s">
        <v>3</v>
      </c>
      <c r="D641" s="26">
        <v>1108.33</v>
      </c>
      <c r="E641" s="26">
        <v>1108.33</v>
      </c>
      <c r="F641" s="26">
        <v>1108.33</v>
      </c>
      <c r="G641" s="26">
        <v>1108.33</v>
      </c>
      <c r="H641" s="26">
        <v>1108.33</v>
      </c>
      <c r="I641" s="26">
        <v>1108.33</v>
      </c>
      <c r="J641" s="47">
        <v>1075.83</v>
      </c>
      <c r="K641" s="55">
        <v>1075.83</v>
      </c>
      <c r="L641" s="47">
        <v>1075.83</v>
      </c>
      <c r="M641" s="47">
        <v>1075.83</v>
      </c>
      <c r="N641" s="47">
        <v>1075.83</v>
      </c>
      <c r="O641" s="47">
        <v>1075.83</v>
      </c>
      <c r="P641" s="26">
        <f>SUM(D641:O641)</f>
        <v>13104.96</v>
      </c>
    </row>
    <row r="642" spans="1:16" ht="14.1" customHeight="1" x14ac:dyDescent="0.2">
      <c r="C642" s="4" t="s">
        <v>4</v>
      </c>
      <c r="D642" s="47">
        <v>250</v>
      </c>
      <c r="E642" s="47"/>
      <c r="F642" s="47"/>
      <c r="G642" s="47"/>
      <c r="H642" s="47"/>
      <c r="I642" s="47"/>
      <c r="J642" s="47"/>
      <c r="K642" s="55"/>
      <c r="L642" s="47"/>
      <c r="M642" s="47"/>
      <c r="N642" s="47"/>
      <c r="O642" s="47"/>
      <c r="P642" s="26">
        <f>SUM(D642:O642)</f>
        <v>250</v>
      </c>
    </row>
    <row r="643" spans="1:16" ht="14.1" customHeight="1" thickBot="1" x14ac:dyDescent="0.25">
      <c r="C643" s="4" t="s">
        <v>5</v>
      </c>
      <c r="D643" s="47">
        <f>32500+45053.13</f>
        <v>77553.13</v>
      </c>
      <c r="E643" s="47">
        <f>32500+45053.13</f>
        <v>77553.13</v>
      </c>
      <c r="F643" s="47">
        <f>32500+45053.1</f>
        <v>77553.100000000006</v>
      </c>
      <c r="G643" s="47">
        <f>33333.33+44078.13</f>
        <v>77411.459999999992</v>
      </c>
      <c r="H643" s="47">
        <f t="shared" ref="H643:O643" si="73">33333.33+44078.13</f>
        <v>77411.459999999992</v>
      </c>
      <c r="I643" s="47">
        <f t="shared" si="73"/>
        <v>77411.459999999992</v>
      </c>
      <c r="J643" s="47">
        <f t="shared" si="73"/>
        <v>77411.459999999992</v>
      </c>
      <c r="K643" s="55">
        <f t="shared" si="73"/>
        <v>77411.459999999992</v>
      </c>
      <c r="L643" s="47">
        <f>33333.33+44078.1</f>
        <v>77411.429999999993</v>
      </c>
      <c r="M643" s="47">
        <f t="shared" si="73"/>
        <v>77411.459999999992</v>
      </c>
      <c r="N643" s="47">
        <f t="shared" si="73"/>
        <v>77411.459999999992</v>
      </c>
      <c r="O643" s="47">
        <f t="shared" si="73"/>
        <v>77411.459999999992</v>
      </c>
      <c r="P643" s="26">
        <f>SUM(D643:O643)</f>
        <v>929362.46999999974</v>
      </c>
    </row>
    <row r="644" spans="1:16" ht="14.1" customHeight="1" thickBot="1" x14ac:dyDescent="0.25">
      <c r="C644" s="6" t="s">
        <v>96</v>
      </c>
      <c r="D644" s="27">
        <f t="shared" ref="D644:P644" si="74">SUM(D641:D643)</f>
        <v>78911.460000000006</v>
      </c>
      <c r="E644" s="27">
        <f t="shared" si="74"/>
        <v>78661.460000000006</v>
      </c>
      <c r="F644" s="27">
        <f t="shared" si="74"/>
        <v>78661.430000000008</v>
      </c>
      <c r="G644" s="27">
        <f t="shared" si="74"/>
        <v>78519.789999999994</v>
      </c>
      <c r="H644" s="27">
        <f t="shared" si="74"/>
        <v>78519.789999999994</v>
      </c>
      <c r="I644" s="27">
        <f t="shared" si="74"/>
        <v>78519.789999999994</v>
      </c>
      <c r="J644" s="27">
        <f t="shared" si="74"/>
        <v>78487.289999999994</v>
      </c>
      <c r="K644" s="40">
        <f t="shared" si="74"/>
        <v>78487.289999999994</v>
      </c>
      <c r="L644" s="27">
        <f t="shared" si="74"/>
        <v>78487.259999999995</v>
      </c>
      <c r="M644" s="27">
        <f t="shared" si="74"/>
        <v>78487.289999999994</v>
      </c>
      <c r="N644" s="27">
        <f t="shared" si="74"/>
        <v>78487.289999999994</v>
      </c>
      <c r="O644" s="27">
        <f t="shared" si="74"/>
        <v>78487.289999999994</v>
      </c>
      <c r="P644" s="27">
        <f t="shared" si="74"/>
        <v>942717.4299999997</v>
      </c>
    </row>
    <row r="645" spans="1:16" ht="14.1" customHeight="1" x14ac:dyDescent="0.2">
      <c r="C645" s="12"/>
    </row>
    <row r="646" spans="1:16" ht="14.1" customHeight="1" x14ac:dyDescent="0.25">
      <c r="A646" s="16">
        <f>+A640+1</f>
        <v>39</v>
      </c>
      <c r="C646" s="5" t="s">
        <v>209</v>
      </c>
    </row>
    <row r="647" spans="1:16" ht="14.1" customHeight="1" x14ac:dyDescent="0.2">
      <c r="C647" s="4" t="s">
        <v>3</v>
      </c>
      <c r="D647" s="26">
        <v>1049.58</v>
      </c>
      <c r="E647" s="26">
        <v>1049.58</v>
      </c>
      <c r="F647" s="26">
        <v>1049.58</v>
      </c>
      <c r="G647" s="26">
        <v>1049.58</v>
      </c>
      <c r="H647" s="26">
        <v>1049.58</v>
      </c>
      <c r="I647" s="26">
        <v>1049.58</v>
      </c>
      <c r="J647" s="26">
        <v>1049.58</v>
      </c>
      <c r="K647" s="55">
        <v>1017.92</v>
      </c>
      <c r="L647" s="47">
        <v>1017.92</v>
      </c>
      <c r="M647" s="47">
        <v>1017.92</v>
      </c>
      <c r="N647" s="47">
        <v>1017.92</v>
      </c>
      <c r="O647" s="47">
        <v>1017.92</v>
      </c>
      <c r="P647" s="26">
        <f>SUM(D647:O647)</f>
        <v>12436.66</v>
      </c>
    </row>
    <row r="648" spans="1:16" ht="14.1" customHeight="1" x14ac:dyDescent="0.2">
      <c r="C648" s="4" t="s">
        <v>4</v>
      </c>
      <c r="D648" s="47">
        <v>250</v>
      </c>
      <c r="E648" s="47"/>
      <c r="F648" s="47"/>
      <c r="G648" s="47"/>
      <c r="H648" s="47"/>
      <c r="I648" s="47"/>
      <c r="J648" s="47"/>
      <c r="K648" s="55"/>
      <c r="L648" s="47"/>
      <c r="M648" s="47"/>
      <c r="N648" s="47"/>
      <c r="O648" s="47"/>
      <c r="P648" s="26">
        <f>SUM(D648:O648)</f>
        <v>250</v>
      </c>
    </row>
    <row r="649" spans="1:16" ht="14.1" customHeight="1" thickBot="1" x14ac:dyDescent="0.25">
      <c r="C649" s="4" t="s">
        <v>5</v>
      </c>
      <c r="D649" s="47">
        <f>35416.67+53687.5</f>
        <v>89104.17</v>
      </c>
      <c r="E649" s="47">
        <f>35416.67+53687.5</f>
        <v>89104.17</v>
      </c>
      <c r="F649" s="47">
        <f>35416.67+53687.5</f>
        <v>89104.17</v>
      </c>
      <c r="G649" s="47">
        <f>35416.67+53687.5</f>
        <v>89104.17</v>
      </c>
      <c r="H649" s="47">
        <f>35416.63+53687.5</f>
        <v>89104.13</v>
      </c>
      <c r="I649" s="47">
        <f>36666.67+52298.96</f>
        <v>88965.63</v>
      </c>
      <c r="J649" s="47">
        <f t="shared" ref="J649:O649" si="75">36666.67+52298.96</f>
        <v>88965.63</v>
      </c>
      <c r="K649" s="55">
        <f t="shared" si="75"/>
        <v>88965.63</v>
      </c>
      <c r="L649" s="47">
        <f t="shared" si="75"/>
        <v>88965.63</v>
      </c>
      <c r="M649" s="47">
        <f t="shared" si="75"/>
        <v>88965.63</v>
      </c>
      <c r="N649" s="47">
        <f>36666.67+52298.95</f>
        <v>88965.62</v>
      </c>
      <c r="O649" s="47">
        <f t="shared" si="75"/>
        <v>88965.63</v>
      </c>
      <c r="P649" s="26">
        <f>SUM(D649:O649)</f>
        <v>1068280.21</v>
      </c>
    </row>
    <row r="650" spans="1:16" ht="14.1" customHeight="1" thickBot="1" x14ac:dyDescent="0.25">
      <c r="C650" s="6" t="s">
        <v>208</v>
      </c>
      <c r="D650" s="27">
        <f t="shared" ref="D650:P650" si="76">SUM(D647:D649)</f>
        <v>90403.75</v>
      </c>
      <c r="E650" s="27">
        <f t="shared" si="76"/>
        <v>90153.75</v>
      </c>
      <c r="F650" s="27">
        <f t="shared" si="76"/>
        <v>90153.75</v>
      </c>
      <c r="G650" s="27">
        <f t="shared" si="76"/>
        <v>90153.75</v>
      </c>
      <c r="H650" s="27">
        <f t="shared" si="76"/>
        <v>90153.71</v>
      </c>
      <c r="I650" s="27">
        <f t="shared" si="76"/>
        <v>90015.21</v>
      </c>
      <c r="J650" s="27">
        <f t="shared" si="76"/>
        <v>90015.21</v>
      </c>
      <c r="K650" s="40">
        <f t="shared" si="76"/>
        <v>89983.55</v>
      </c>
      <c r="L650" s="27">
        <f t="shared" si="76"/>
        <v>89983.55</v>
      </c>
      <c r="M650" s="27">
        <f t="shared" si="76"/>
        <v>89983.55</v>
      </c>
      <c r="N650" s="27">
        <f t="shared" si="76"/>
        <v>89983.54</v>
      </c>
      <c r="O650" s="27">
        <f t="shared" si="76"/>
        <v>89983.55</v>
      </c>
      <c r="P650" s="27">
        <f t="shared" si="76"/>
        <v>1080966.8699999999</v>
      </c>
    </row>
    <row r="651" spans="1:16" ht="14.1" customHeight="1" x14ac:dyDescent="0.2">
      <c r="C651" s="12"/>
    </row>
    <row r="652" spans="1:16" ht="14.1" customHeight="1" x14ac:dyDescent="0.25">
      <c r="A652" s="16">
        <f>+A646+1</f>
        <v>40</v>
      </c>
      <c r="C652" s="5" t="s">
        <v>210</v>
      </c>
    </row>
    <row r="653" spans="1:16" ht="14.1" customHeight="1" x14ac:dyDescent="0.2">
      <c r="C653" s="4" t="s">
        <v>3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39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f>SUM(D653:O653)</f>
        <v>0</v>
      </c>
    </row>
    <row r="654" spans="1:16" ht="14.1" customHeight="1" x14ac:dyDescent="0.2">
      <c r="C654" s="4" t="s">
        <v>4</v>
      </c>
      <c r="D654" s="47">
        <v>250</v>
      </c>
      <c r="E654" s="47"/>
      <c r="F654" s="47"/>
      <c r="G654" s="47"/>
      <c r="H654" s="47"/>
      <c r="I654" s="47"/>
      <c r="J654" s="47"/>
      <c r="K654" s="55"/>
      <c r="L654" s="47"/>
      <c r="M654" s="47"/>
      <c r="N654" s="47"/>
      <c r="O654" s="47"/>
      <c r="P654" s="26">
        <f>SUM(D654:O654)</f>
        <v>250</v>
      </c>
    </row>
    <row r="655" spans="1:16" ht="14.1" customHeight="1" thickBot="1" x14ac:dyDescent="0.25">
      <c r="C655" s="4" t="s">
        <v>5</v>
      </c>
      <c r="D655" s="26">
        <f>45000+113454.17</f>
        <v>158454.16999999998</v>
      </c>
      <c r="E655" s="26">
        <f>45000+113454.17</f>
        <v>158454.16999999998</v>
      </c>
      <c r="F655" s="26">
        <f>45000+113454.17</f>
        <v>158454.16999999998</v>
      </c>
      <c r="G655" s="26">
        <f>45000+113454.17</f>
        <v>158454.16999999998</v>
      </c>
      <c r="H655" s="26">
        <f>45000+113454.15</f>
        <v>158454.15</v>
      </c>
      <c r="I655" s="47">
        <f>45833.33+112329.17</f>
        <v>158162.5</v>
      </c>
      <c r="J655" s="47">
        <f t="shared" ref="J655:O655" si="77">45833.33+112329.17</f>
        <v>158162.5</v>
      </c>
      <c r="K655" s="55">
        <f t="shared" si="77"/>
        <v>158162.5</v>
      </c>
      <c r="L655" s="47">
        <f t="shared" si="77"/>
        <v>158162.5</v>
      </c>
      <c r="M655" s="47">
        <f t="shared" si="77"/>
        <v>158162.5</v>
      </c>
      <c r="N655" s="47">
        <f>45833.33+112329.15</f>
        <v>158162.47999999998</v>
      </c>
      <c r="O655" s="47">
        <f t="shared" si="77"/>
        <v>158162.5</v>
      </c>
      <c r="P655" s="26">
        <f>SUM(D655:O655)</f>
        <v>1899408.31</v>
      </c>
    </row>
    <row r="656" spans="1:16" ht="14.1" customHeight="1" thickBot="1" x14ac:dyDescent="0.25">
      <c r="C656" s="6" t="s">
        <v>211</v>
      </c>
      <c r="D656" s="27">
        <f t="shared" ref="D656:P656" si="78">SUM(D653:D655)</f>
        <v>158704.16999999998</v>
      </c>
      <c r="E656" s="27">
        <f t="shared" si="78"/>
        <v>158454.16999999998</v>
      </c>
      <c r="F656" s="27">
        <f t="shared" si="78"/>
        <v>158454.16999999998</v>
      </c>
      <c r="G656" s="27">
        <f t="shared" si="78"/>
        <v>158454.16999999998</v>
      </c>
      <c r="H656" s="27">
        <f t="shared" si="78"/>
        <v>158454.15</v>
      </c>
      <c r="I656" s="27">
        <f t="shared" si="78"/>
        <v>158162.5</v>
      </c>
      <c r="J656" s="27">
        <f t="shared" si="78"/>
        <v>158162.5</v>
      </c>
      <c r="K656" s="40">
        <f t="shared" si="78"/>
        <v>158162.5</v>
      </c>
      <c r="L656" s="27">
        <f t="shared" si="78"/>
        <v>158162.5</v>
      </c>
      <c r="M656" s="27">
        <f t="shared" si="78"/>
        <v>158162.5</v>
      </c>
      <c r="N656" s="27">
        <f t="shared" si="78"/>
        <v>158162.47999999998</v>
      </c>
      <c r="O656" s="27">
        <f t="shared" si="78"/>
        <v>158162.5</v>
      </c>
      <c r="P656" s="27">
        <f t="shared" si="78"/>
        <v>1899658.31</v>
      </c>
    </row>
    <row r="657" spans="1:16" ht="14.1" customHeight="1" x14ac:dyDescent="0.2">
      <c r="C657" s="12"/>
    </row>
    <row r="658" spans="1:16" ht="14.1" customHeight="1" x14ac:dyDescent="0.25">
      <c r="A658" s="16">
        <f>+A652+1</f>
        <v>41</v>
      </c>
      <c r="C658" s="5" t="s">
        <v>212</v>
      </c>
    </row>
    <row r="659" spans="1:16" ht="14.1" customHeight="1" x14ac:dyDescent="0.2">
      <c r="C659" s="4" t="s">
        <v>3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39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f>SUM(D659:O659)</f>
        <v>0</v>
      </c>
    </row>
    <row r="660" spans="1:16" ht="14.1" customHeight="1" x14ac:dyDescent="0.2">
      <c r="C660" s="4" t="s">
        <v>4</v>
      </c>
      <c r="D660" s="47">
        <v>250</v>
      </c>
      <c r="E660" s="47"/>
      <c r="F660" s="47"/>
      <c r="G660" s="47"/>
      <c r="H660" s="47"/>
      <c r="I660" s="47"/>
      <c r="J660" s="47"/>
      <c r="K660" s="55"/>
      <c r="L660" s="47"/>
      <c r="M660" s="47"/>
      <c r="N660" s="47"/>
      <c r="O660" s="47"/>
      <c r="P660" s="26">
        <f>SUM(D660:O660)</f>
        <v>250</v>
      </c>
    </row>
    <row r="661" spans="1:16" ht="14.1" customHeight="1" thickBot="1" x14ac:dyDescent="0.25">
      <c r="C661" s="4" t="s">
        <v>5</v>
      </c>
      <c r="D661" s="26">
        <f t="shared" ref="D661:L661" si="79">17916.67+49263.02</f>
        <v>67179.69</v>
      </c>
      <c r="E661" s="26">
        <f t="shared" si="79"/>
        <v>67179.69</v>
      </c>
      <c r="F661" s="26">
        <f t="shared" si="79"/>
        <v>67179.69</v>
      </c>
      <c r="G661" s="26">
        <f t="shared" si="79"/>
        <v>67179.69</v>
      </c>
      <c r="H661" s="26">
        <f t="shared" si="79"/>
        <v>67179.69</v>
      </c>
      <c r="I661" s="26">
        <f t="shared" si="79"/>
        <v>67179.69</v>
      </c>
      <c r="J661" s="26">
        <f t="shared" si="79"/>
        <v>67179.69</v>
      </c>
      <c r="K661" s="39">
        <f t="shared" si="79"/>
        <v>67179.69</v>
      </c>
      <c r="L661" s="26">
        <f t="shared" si="79"/>
        <v>67179.69</v>
      </c>
      <c r="M661" s="47">
        <f>18750+48456.77</f>
        <v>67206.76999999999</v>
      </c>
      <c r="N661" s="47">
        <f>18750+48456.77</f>
        <v>67206.76999999999</v>
      </c>
      <c r="O661" s="47">
        <f>18750+48456.77</f>
        <v>67206.76999999999</v>
      </c>
      <c r="P661" s="26">
        <f>SUM(D661:O661)</f>
        <v>806237.52</v>
      </c>
    </row>
    <row r="662" spans="1:16" ht="14.1" customHeight="1" thickBot="1" x14ac:dyDescent="0.25">
      <c r="C662" s="6" t="s">
        <v>213</v>
      </c>
      <c r="D662" s="27">
        <f t="shared" ref="D662:P662" si="80">SUM(D659:D661)</f>
        <v>67429.69</v>
      </c>
      <c r="E662" s="27">
        <f t="shared" si="80"/>
        <v>67179.69</v>
      </c>
      <c r="F662" s="27">
        <f t="shared" si="80"/>
        <v>67179.69</v>
      </c>
      <c r="G662" s="27">
        <f t="shared" si="80"/>
        <v>67179.69</v>
      </c>
      <c r="H662" s="27">
        <f t="shared" si="80"/>
        <v>67179.69</v>
      </c>
      <c r="I662" s="27">
        <f t="shared" si="80"/>
        <v>67179.69</v>
      </c>
      <c r="J662" s="27">
        <f t="shared" si="80"/>
        <v>67179.69</v>
      </c>
      <c r="K662" s="40">
        <f t="shared" si="80"/>
        <v>67179.69</v>
      </c>
      <c r="L662" s="27">
        <f t="shared" si="80"/>
        <v>67179.69</v>
      </c>
      <c r="M662" s="27">
        <f t="shared" si="80"/>
        <v>67206.76999999999</v>
      </c>
      <c r="N662" s="27">
        <f t="shared" si="80"/>
        <v>67206.76999999999</v>
      </c>
      <c r="O662" s="27">
        <f t="shared" si="80"/>
        <v>67206.76999999999</v>
      </c>
      <c r="P662" s="27">
        <f t="shared" si="80"/>
        <v>806487.52</v>
      </c>
    </row>
    <row r="663" spans="1:16" ht="14.1" customHeight="1" x14ac:dyDescent="0.2">
      <c r="C663" s="12"/>
    </row>
    <row r="664" spans="1:16" ht="14.1" customHeight="1" x14ac:dyDescent="0.25">
      <c r="A664" s="16"/>
      <c r="B664" s="42" t="s">
        <v>105</v>
      </c>
      <c r="C664" s="30" t="s">
        <v>214</v>
      </c>
    </row>
    <row r="665" spans="1:16" ht="14.1" customHeight="1" x14ac:dyDescent="0.2">
      <c r="C665" s="4" t="s">
        <v>3</v>
      </c>
      <c r="D665" s="26">
        <v>0</v>
      </c>
      <c r="E665" s="26"/>
      <c r="F665" s="26"/>
      <c r="G665" s="26"/>
      <c r="H665" s="26"/>
      <c r="I665" s="26"/>
      <c r="J665" s="26"/>
      <c r="K665" s="39"/>
      <c r="L665" s="26"/>
      <c r="M665" s="26"/>
      <c r="N665" s="26"/>
      <c r="O665" s="26"/>
      <c r="P665" s="26">
        <f>SUM(D665:O665)</f>
        <v>0</v>
      </c>
    </row>
    <row r="666" spans="1:16" ht="14.1" customHeight="1" x14ac:dyDescent="0.2">
      <c r="C666" s="4" t="s">
        <v>4</v>
      </c>
      <c r="D666" s="47">
        <v>250</v>
      </c>
      <c r="E666" s="47"/>
      <c r="F666" s="47"/>
      <c r="G666" s="47"/>
      <c r="H666" s="47"/>
      <c r="I666" s="47"/>
      <c r="J666" s="47"/>
      <c r="K666" s="55"/>
      <c r="L666" s="47"/>
      <c r="M666" s="47"/>
      <c r="N666" s="47"/>
      <c r="O666" s="47"/>
      <c r="P666" s="26">
        <f>SUM(D666:O666)</f>
        <v>250</v>
      </c>
    </row>
    <row r="667" spans="1:16" ht="14.1" customHeight="1" thickBot="1" x14ac:dyDescent="0.25">
      <c r="C667" s="4" t="s">
        <v>5</v>
      </c>
      <c r="D667" s="26">
        <f>55416.67+186210</f>
        <v>241626.66999999998</v>
      </c>
      <c r="E667" s="26"/>
      <c r="F667" s="26"/>
      <c r="G667" s="26"/>
      <c r="H667" s="26"/>
      <c r="I667" s="47"/>
      <c r="J667" s="47"/>
      <c r="K667" s="55"/>
      <c r="L667" s="47"/>
      <c r="M667" s="47"/>
      <c r="N667" s="47"/>
      <c r="O667" s="47"/>
      <c r="P667" s="26">
        <f>SUM(D667:O667)</f>
        <v>241626.66999999998</v>
      </c>
    </row>
    <row r="668" spans="1:16" ht="14.1" customHeight="1" thickBot="1" x14ac:dyDescent="0.25">
      <c r="C668" s="6" t="s">
        <v>52</v>
      </c>
      <c r="D668" s="27">
        <f t="shared" ref="D668:P668" si="81">SUM(D665:D667)</f>
        <v>241876.66999999998</v>
      </c>
      <c r="E668" s="27">
        <f t="shared" si="81"/>
        <v>0</v>
      </c>
      <c r="F668" s="27">
        <f t="shared" si="81"/>
        <v>0</v>
      </c>
      <c r="G668" s="27">
        <f t="shared" si="81"/>
        <v>0</v>
      </c>
      <c r="H668" s="27">
        <f t="shared" si="81"/>
        <v>0</v>
      </c>
      <c r="I668" s="27">
        <f t="shared" si="81"/>
        <v>0</v>
      </c>
      <c r="J668" s="27">
        <f t="shared" si="81"/>
        <v>0</v>
      </c>
      <c r="K668" s="40">
        <f t="shared" si="81"/>
        <v>0</v>
      </c>
      <c r="L668" s="27">
        <f t="shared" si="81"/>
        <v>0</v>
      </c>
      <c r="M668" s="27">
        <f t="shared" si="81"/>
        <v>0</v>
      </c>
      <c r="N668" s="27">
        <f t="shared" si="81"/>
        <v>0</v>
      </c>
      <c r="O668" s="27">
        <f t="shared" si="81"/>
        <v>0</v>
      </c>
      <c r="P668" s="27">
        <f t="shared" si="81"/>
        <v>241876.66999999998</v>
      </c>
    </row>
    <row r="669" spans="1:16" ht="14.1" customHeight="1" x14ac:dyDescent="0.2">
      <c r="C669" s="12"/>
    </row>
    <row r="670" spans="1:16" ht="14.1" customHeight="1" x14ac:dyDescent="0.25">
      <c r="A670" s="16">
        <f>+A658+1</f>
        <v>42</v>
      </c>
      <c r="C670" s="5" t="s">
        <v>215</v>
      </c>
    </row>
    <row r="671" spans="1:16" ht="14.1" customHeight="1" x14ac:dyDescent="0.2">
      <c r="C671" s="4" t="s">
        <v>3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39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f>SUM(D671:O671)</f>
        <v>0</v>
      </c>
    </row>
    <row r="672" spans="1:16" ht="14.1" customHeight="1" x14ac:dyDescent="0.2">
      <c r="C672" s="4" t="s">
        <v>4</v>
      </c>
      <c r="D672" s="47">
        <v>250</v>
      </c>
      <c r="E672" s="47"/>
      <c r="F672" s="47"/>
      <c r="G672" s="47"/>
      <c r="H672" s="47"/>
      <c r="I672" s="47"/>
      <c r="J672" s="47"/>
      <c r="K672" s="55"/>
      <c r="L672" s="47"/>
      <c r="M672" s="47"/>
      <c r="N672" s="47"/>
      <c r="O672" s="47"/>
      <c r="P672" s="26">
        <f>SUM(D672:O672)</f>
        <v>250</v>
      </c>
    </row>
    <row r="673" spans="1:16" ht="14.1" customHeight="1" thickBot="1" x14ac:dyDescent="0.25">
      <c r="C673" s="4" t="s">
        <v>5</v>
      </c>
      <c r="D673" s="47">
        <f>16250+45116.67</f>
        <v>61366.67</v>
      </c>
      <c r="E673" s="47">
        <f t="shared" ref="E673:N673" si="82">16250+45116.67</f>
        <v>61366.67</v>
      </c>
      <c r="F673" s="47">
        <f t="shared" si="82"/>
        <v>61366.67</v>
      </c>
      <c r="G673" s="47">
        <f t="shared" si="82"/>
        <v>61366.67</v>
      </c>
      <c r="H673" s="47">
        <f t="shared" si="82"/>
        <v>61366.67</v>
      </c>
      <c r="I673" s="47">
        <f t="shared" si="82"/>
        <v>61366.67</v>
      </c>
      <c r="J673" s="47">
        <f t="shared" si="82"/>
        <v>61366.67</v>
      </c>
      <c r="K673" s="55">
        <f t="shared" si="82"/>
        <v>61366.67</v>
      </c>
      <c r="L673" s="47">
        <f t="shared" si="82"/>
        <v>61366.67</v>
      </c>
      <c r="M673" s="47">
        <f t="shared" si="82"/>
        <v>61366.67</v>
      </c>
      <c r="N673" s="47">
        <f t="shared" si="82"/>
        <v>61366.67</v>
      </c>
      <c r="O673" s="47">
        <f>17083.33+44446.36</f>
        <v>61529.69</v>
      </c>
      <c r="P673" s="26">
        <f>SUM(D673:O673)</f>
        <v>736563.06</v>
      </c>
    </row>
    <row r="674" spans="1:16" ht="14.1" customHeight="1" thickBot="1" x14ac:dyDescent="0.25">
      <c r="C674" s="6" t="s">
        <v>216</v>
      </c>
      <c r="D674" s="27">
        <f t="shared" ref="D674:P674" si="83">SUM(D671:D673)</f>
        <v>61616.67</v>
      </c>
      <c r="E674" s="27">
        <f t="shared" si="83"/>
        <v>61366.67</v>
      </c>
      <c r="F674" s="27">
        <f t="shared" si="83"/>
        <v>61366.67</v>
      </c>
      <c r="G674" s="27">
        <f t="shared" si="83"/>
        <v>61366.67</v>
      </c>
      <c r="H674" s="27">
        <f t="shared" si="83"/>
        <v>61366.67</v>
      </c>
      <c r="I674" s="27">
        <f t="shared" si="83"/>
        <v>61366.67</v>
      </c>
      <c r="J674" s="27">
        <f t="shared" si="83"/>
        <v>61366.67</v>
      </c>
      <c r="K674" s="40">
        <f t="shared" si="83"/>
        <v>61366.67</v>
      </c>
      <c r="L674" s="27">
        <f t="shared" si="83"/>
        <v>61366.67</v>
      </c>
      <c r="M674" s="27">
        <f t="shared" si="83"/>
        <v>61366.67</v>
      </c>
      <c r="N674" s="27">
        <f t="shared" si="83"/>
        <v>61366.67</v>
      </c>
      <c r="O674" s="27">
        <f t="shared" si="83"/>
        <v>61529.69</v>
      </c>
      <c r="P674" s="27">
        <f t="shared" si="83"/>
        <v>736813.06</v>
      </c>
    </row>
    <row r="675" spans="1:16" ht="14.1" customHeight="1" x14ac:dyDescent="0.2">
      <c r="C675" s="12"/>
    </row>
    <row r="676" spans="1:16" ht="14.1" customHeight="1" x14ac:dyDescent="0.25">
      <c r="A676" s="16"/>
      <c r="B676" s="42" t="s">
        <v>105</v>
      </c>
      <c r="C676" s="30" t="s">
        <v>274</v>
      </c>
    </row>
    <row r="677" spans="1:16" ht="14.1" customHeight="1" x14ac:dyDescent="0.2">
      <c r="C677" s="4" t="s">
        <v>3</v>
      </c>
    </row>
    <row r="678" spans="1:16" ht="14.1" customHeight="1" x14ac:dyDescent="0.2">
      <c r="C678" s="4" t="s">
        <v>4</v>
      </c>
    </row>
    <row r="679" spans="1:16" ht="14.1" customHeight="1" thickBot="1" x14ac:dyDescent="0.25">
      <c r="C679" s="4" t="s">
        <v>5</v>
      </c>
    </row>
    <row r="680" spans="1:16" ht="14.1" customHeight="1" thickBot="1" x14ac:dyDescent="0.25">
      <c r="C680" s="6" t="s">
        <v>118</v>
      </c>
    </row>
    <row r="681" spans="1:16" ht="14.1" customHeight="1" x14ac:dyDescent="0.2">
      <c r="C681" s="12"/>
    </row>
    <row r="682" spans="1:16" ht="14.1" customHeight="1" x14ac:dyDescent="0.25">
      <c r="A682" s="16"/>
      <c r="B682" s="42" t="s">
        <v>105</v>
      </c>
      <c r="C682" s="30" t="s">
        <v>217</v>
      </c>
    </row>
    <row r="683" spans="1:16" ht="14.1" customHeight="1" x14ac:dyDescent="0.2">
      <c r="C683" s="4" t="s">
        <v>3</v>
      </c>
    </row>
    <row r="684" spans="1:16" ht="14.1" customHeight="1" x14ac:dyDescent="0.2">
      <c r="C684" s="4" t="s">
        <v>4</v>
      </c>
    </row>
    <row r="685" spans="1:16" ht="14.1" customHeight="1" thickBot="1" x14ac:dyDescent="0.25">
      <c r="C685" s="4" t="s">
        <v>5</v>
      </c>
    </row>
    <row r="686" spans="1:16" ht="14.1" customHeight="1" thickBot="1" x14ac:dyDescent="0.25">
      <c r="C686" s="6" t="s">
        <v>75</v>
      </c>
    </row>
    <row r="687" spans="1:16" ht="14.1" customHeight="1" x14ac:dyDescent="0.2">
      <c r="C687" s="12"/>
    </row>
    <row r="688" spans="1:16" ht="14.1" customHeight="1" x14ac:dyDescent="0.25">
      <c r="A688" s="16">
        <f>+A670+1</f>
        <v>43</v>
      </c>
      <c r="C688" s="5" t="s">
        <v>218</v>
      </c>
    </row>
    <row r="689" spans="1:16" ht="14.1" customHeight="1" x14ac:dyDescent="0.2">
      <c r="C689" s="4" t="s">
        <v>3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39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f>SUM(D689:O689)</f>
        <v>0</v>
      </c>
    </row>
    <row r="690" spans="1:16" ht="14.1" customHeight="1" x14ac:dyDescent="0.2">
      <c r="C690" s="4" t="s">
        <v>4</v>
      </c>
      <c r="D690" s="47">
        <v>250</v>
      </c>
      <c r="E690" s="47"/>
      <c r="F690" s="47"/>
      <c r="G690" s="47"/>
      <c r="H690" s="47"/>
      <c r="I690" s="47"/>
      <c r="J690" s="47"/>
      <c r="K690" s="55"/>
      <c r="L690" s="47"/>
      <c r="M690" s="47"/>
      <c r="N690" s="47"/>
      <c r="O690" s="47"/>
      <c r="P690" s="26">
        <f>SUM(D690:O690)</f>
        <v>250</v>
      </c>
    </row>
    <row r="691" spans="1:16" ht="14.1" customHeight="1" thickBot="1" x14ac:dyDescent="0.25">
      <c r="C691" s="4" t="s">
        <v>5</v>
      </c>
      <c r="D691" s="26">
        <v>76200</v>
      </c>
      <c r="E691" s="26">
        <v>76200</v>
      </c>
      <c r="F691" s="26">
        <v>76200</v>
      </c>
      <c r="G691" s="26">
        <v>76200</v>
      </c>
      <c r="H691" s="26">
        <v>76200</v>
      </c>
      <c r="I691" s="26">
        <v>76200</v>
      </c>
      <c r="J691" s="26">
        <v>76200</v>
      </c>
      <c r="K691" s="39">
        <v>76200</v>
      </c>
      <c r="L691" s="26">
        <v>76200</v>
      </c>
      <c r="M691" s="26">
        <v>76200</v>
      </c>
      <c r="N691" s="26">
        <v>76200</v>
      </c>
      <c r="O691" s="47">
        <v>76133.33</v>
      </c>
      <c r="P691" s="26">
        <f>SUM(D691:O691)</f>
        <v>914333.33</v>
      </c>
    </row>
    <row r="692" spans="1:16" ht="14.1" customHeight="1" thickBot="1" x14ac:dyDescent="0.25">
      <c r="C692" s="6" t="s">
        <v>219</v>
      </c>
      <c r="D692" s="27">
        <f t="shared" ref="D692:P692" si="84">SUM(D689:D691)</f>
        <v>76450</v>
      </c>
      <c r="E692" s="27">
        <f t="shared" si="84"/>
        <v>76200</v>
      </c>
      <c r="F692" s="27">
        <f t="shared" si="84"/>
        <v>76200</v>
      </c>
      <c r="G692" s="27">
        <f t="shared" si="84"/>
        <v>76200</v>
      </c>
      <c r="H692" s="27">
        <f t="shared" si="84"/>
        <v>76200</v>
      </c>
      <c r="I692" s="27">
        <f t="shared" si="84"/>
        <v>76200</v>
      </c>
      <c r="J692" s="27">
        <f t="shared" si="84"/>
        <v>76200</v>
      </c>
      <c r="K692" s="40">
        <f t="shared" si="84"/>
        <v>76200</v>
      </c>
      <c r="L692" s="27">
        <f t="shared" si="84"/>
        <v>76200</v>
      </c>
      <c r="M692" s="27">
        <f t="shared" si="84"/>
        <v>76200</v>
      </c>
      <c r="N692" s="27">
        <f t="shared" si="84"/>
        <v>76200</v>
      </c>
      <c r="O692" s="27">
        <f t="shared" si="84"/>
        <v>76133.33</v>
      </c>
      <c r="P692" s="27">
        <f t="shared" si="84"/>
        <v>914583.33</v>
      </c>
    </row>
    <row r="693" spans="1:16" ht="14.1" customHeight="1" x14ac:dyDescent="0.2">
      <c r="C693" s="12"/>
    </row>
    <row r="694" spans="1:16" ht="14.1" customHeight="1" x14ac:dyDescent="0.25">
      <c r="A694" s="16">
        <f>+A688+1</f>
        <v>44</v>
      </c>
      <c r="C694" s="5" t="s">
        <v>220</v>
      </c>
    </row>
    <row r="695" spans="1:16" ht="14.1" customHeight="1" x14ac:dyDescent="0.2">
      <c r="C695" s="4" t="s">
        <v>3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39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f>SUM(D695:O695)</f>
        <v>0</v>
      </c>
    </row>
    <row r="696" spans="1:16" ht="14.1" customHeight="1" x14ac:dyDescent="0.2">
      <c r="C696" s="4" t="s">
        <v>4</v>
      </c>
      <c r="D696" s="47">
        <v>250</v>
      </c>
      <c r="E696" s="47"/>
      <c r="F696" s="47"/>
      <c r="G696" s="47"/>
      <c r="H696" s="47"/>
      <c r="I696" s="47"/>
      <c r="J696" s="47"/>
      <c r="K696" s="55"/>
      <c r="L696" s="47"/>
      <c r="M696" s="47"/>
      <c r="N696" s="47"/>
      <c r="O696" s="47"/>
      <c r="P696" s="26">
        <f>SUM(D696:O696)</f>
        <v>250</v>
      </c>
    </row>
    <row r="697" spans="1:16" ht="14.1" customHeight="1" thickBot="1" x14ac:dyDescent="0.25">
      <c r="C697" s="4" t="s">
        <v>5</v>
      </c>
      <c r="D697" s="26">
        <f>44517.5+51534.37</f>
        <v>96051.87</v>
      </c>
      <c r="E697" s="47">
        <f>46031.67+50020.78</f>
        <v>96052.45</v>
      </c>
      <c r="F697" s="47">
        <f t="shared" ref="F697:O697" si="85">46031.67+50020.78</f>
        <v>96052.45</v>
      </c>
      <c r="G697" s="47">
        <f t="shared" si="85"/>
        <v>96052.45</v>
      </c>
      <c r="H697" s="47">
        <f t="shared" si="85"/>
        <v>96052.45</v>
      </c>
      <c r="I697" s="47">
        <f t="shared" si="85"/>
        <v>96052.45</v>
      </c>
      <c r="J697" s="47">
        <f t="shared" si="85"/>
        <v>96052.45</v>
      </c>
      <c r="K697" s="55">
        <f t="shared" si="85"/>
        <v>96052.45</v>
      </c>
      <c r="L697" s="47">
        <f t="shared" si="85"/>
        <v>96052.45</v>
      </c>
      <c r="M697" s="47">
        <f t="shared" si="85"/>
        <v>96052.45</v>
      </c>
      <c r="N697" s="47">
        <f t="shared" si="85"/>
        <v>96052.45</v>
      </c>
      <c r="O697" s="47">
        <f t="shared" si="85"/>
        <v>96052.45</v>
      </c>
      <c r="P697" s="26">
        <f>SUM(D697:O697)</f>
        <v>1152628.8199999998</v>
      </c>
    </row>
    <row r="698" spans="1:16" ht="14.1" customHeight="1" thickBot="1" x14ac:dyDescent="0.25">
      <c r="C698" s="6" t="s">
        <v>40</v>
      </c>
      <c r="D698" s="27">
        <f t="shared" ref="D698:P698" si="86">SUM(D695:D697)</f>
        <v>96301.87</v>
      </c>
      <c r="E698" s="27">
        <f t="shared" si="86"/>
        <v>96052.45</v>
      </c>
      <c r="F698" s="27">
        <f t="shared" si="86"/>
        <v>96052.45</v>
      </c>
      <c r="G698" s="27">
        <f t="shared" si="86"/>
        <v>96052.45</v>
      </c>
      <c r="H698" s="27">
        <f t="shared" si="86"/>
        <v>96052.45</v>
      </c>
      <c r="I698" s="27">
        <f t="shared" si="86"/>
        <v>96052.45</v>
      </c>
      <c r="J698" s="27">
        <f t="shared" si="86"/>
        <v>96052.45</v>
      </c>
      <c r="K698" s="40">
        <f t="shared" si="86"/>
        <v>96052.45</v>
      </c>
      <c r="L698" s="27">
        <f t="shared" si="86"/>
        <v>96052.45</v>
      </c>
      <c r="M698" s="27">
        <f t="shared" si="86"/>
        <v>96052.45</v>
      </c>
      <c r="N698" s="27">
        <f t="shared" si="86"/>
        <v>96052.45</v>
      </c>
      <c r="O698" s="27">
        <f t="shared" si="86"/>
        <v>96052.45</v>
      </c>
      <c r="P698" s="27">
        <f t="shared" si="86"/>
        <v>1152878.8199999998</v>
      </c>
    </row>
    <row r="699" spans="1:16" ht="14.1" customHeight="1" x14ac:dyDescent="0.2">
      <c r="C699" s="12"/>
    </row>
    <row r="700" spans="1:16" ht="14.1" customHeight="1" x14ac:dyDescent="0.25">
      <c r="A700" s="16">
        <f>+A694+1</f>
        <v>45</v>
      </c>
      <c r="B700" s="1" t="s">
        <v>250</v>
      </c>
      <c r="C700" s="5" t="s">
        <v>221</v>
      </c>
    </row>
    <row r="701" spans="1:16" ht="14.1" customHeight="1" x14ac:dyDescent="0.2">
      <c r="C701" s="4" t="s">
        <v>3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39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f>SUM(D701:O701)</f>
        <v>0</v>
      </c>
    </row>
    <row r="702" spans="1:16" ht="14.1" customHeight="1" x14ac:dyDescent="0.2">
      <c r="C702" s="4" t="s">
        <v>4</v>
      </c>
      <c r="D702" s="47">
        <v>77.59</v>
      </c>
      <c r="P702" s="26">
        <f>SUM(D702:O702)</f>
        <v>77.59</v>
      </c>
    </row>
    <row r="703" spans="1:16" ht="14.1" customHeight="1" thickBot="1" x14ac:dyDescent="0.25">
      <c r="C703" s="4" t="s">
        <v>5</v>
      </c>
      <c r="D703" s="26">
        <v>28532.75</v>
      </c>
      <c r="E703" s="26">
        <v>28532.75</v>
      </c>
      <c r="F703" s="26">
        <v>28532.75</v>
      </c>
      <c r="G703" s="26">
        <v>28532.75</v>
      </c>
      <c r="H703" s="26">
        <v>28532.75</v>
      </c>
      <c r="I703" s="26">
        <v>28532.75</v>
      </c>
      <c r="J703" s="26">
        <v>28532.75</v>
      </c>
      <c r="K703" s="39">
        <v>28532.75</v>
      </c>
      <c r="L703" s="26">
        <v>28532.75</v>
      </c>
      <c r="M703" s="26">
        <v>28532.75</v>
      </c>
      <c r="N703" s="26">
        <v>28532.75</v>
      </c>
      <c r="O703" s="26">
        <v>28532.75</v>
      </c>
      <c r="P703" s="26">
        <f>SUM(D703:O703)</f>
        <v>342393</v>
      </c>
    </row>
    <row r="704" spans="1:16" ht="14.1" customHeight="1" thickBot="1" x14ac:dyDescent="0.25">
      <c r="C704" s="6" t="s">
        <v>30</v>
      </c>
      <c r="D704" s="27">
        <f t="shared" ref="D704:P704" si="87">SUM(D701:D703)</f>
        <v>28610.34</v>
      </c>
      <c r="E704" s="27">
        <f t="shared" si="87"/>
        <v>28532.75</v>
      </c>
      <c r="F704" s="27">
        <f t="shared" si="87"/>
        <v>28532.75</v>
      </c>
      <c r="G704" s="27">
        <f t="shared" si="87"/>
        <v>28532.75</v>
      </c>
      <c r="H704" s="27">
        <f t="shared" si="87"/>
        <v>28532.75</v>
      </c>
      <c r="I704" s="27">
        <f t="shared" si="87"/>
        <v>28532.75</v>
      </c>
      <c r="J704" s="27">
        <f t="shared" si="87"/>
        <v>28532.75</v>
      </c>
      <c r="K704" s="40">
        <f t="shared" si="87"/>
        <v>28532.75</v>
      </c>
      <c r="L704" s="27">
        <f t="shared" si="87"/>
        <v>28532.75</v>
      </c>
      <c r="M704" s="27">
        <f t="shared" si="87"/>
        <v>28532.75</v>
      </c>
      <c r="N704" s="27">
        <f t="shared" si="87"/>
        <v>28532.75</v>
      </c>
      <c r="O704" s="27">
        <f t="shared" si="87"/>
        <v>28532.75</v>
      </c>
      <c r="P704" s="27">
        <f t="shared" si="87"/>
        <v>342470.59</v>
      </c>
    </row>
    <row r="705" spans="1:16" ht="14.1" customHeight="1" x14ac:dyDescent="0.2">
      <c r="C705" s="12"/>
    </row>
    <row r="706" spans="1:16" ht="14.1" customHeight="1" x14ac:dyDescent="0.25">
      <c r="A706" s="1">
        <f>A700</f>
        <v>45</v>
      </c>
      <c r="B706" s="1" t="s">
        <v>251</v>
      </c>
      <c r="C706" s="5" t="s">
        <v>222</v>
      </c>
    </row>
    <row r="707" spans="1:16" ht="14.1" customHeight="1" x14ac:dyDescent="0.2">
      <c r="C707" s="4" t="s">
        <v>3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39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f>SUM(D707:O707)</f>
        <v>0</v>
      </c>
    </row>
    <row r="708" spans="1:16" ht="14.1" customHeight="1" x14ac:dyDescent="0.2">
      <c r="C708" s="4" t="s">
        <v>4</v>
      </c>
      <c r="D708" s="47">
        <v>83.33</v>
      </c>
      <c r="P708" s="26">
        <f>SUM(D708:O708)</f>
        <v>83.33</v>
      </c>
    </row>
    <row r="709" spans="1:16" ht="14.1" customHeight="1" thickBot="1" x14ac:dyDescent="0.25">
      <c r="C709" s="4" t="s">
        <v>5</v>
      </c>
      <c r="D709" s="26">
        <v>29630.16</v>
      </c>
      <c r="E709" s="26">
        <v>29630.16</v>
      </c>
      <c r="F709" s="26">
        <v>29630.16</v>
      </c>
      <c r="G709" s="26">
        <v>29630.16</v>
      </c>
      <c r="H709" s="26">
        <v>29630.16</v>
      </c>
      <c r="I709" s="26">
        <v>29630.16</v>
      </c>
      <c r="J709" s="26">
        <v>29630.16</v>
      </c>
      <c r="K709" s="39">
        <v>29630.16</v>
      </c>
      <c r="L709" s="26">
        <v>29630.16</v>
      </c>
      <c r="M709" s="26">
        <v>29630.16</v>
      </c>
      <c r="N709" s="26">
        <v>29630.16</v>
      </c>
      <c r="O709" s="26">
        <v>29630.16</v>
      </c>
      <c r="P709" s="26">
        <f>SUM(D709:O709)</f>
        <v>355561.91999999993</v>
      </c>
    </row>
    <row r="710" spans="1:16" ht="14.1" customHeight="1" thickBot="1" x14ac:dyDescent="0.25">
      <c r="C710" s="6" t="s">
        <v>32</v>
      </c>
      <c r="D710" s="27">
        <f t="shared" ref="D710:P710" si="88">SUM(D707:D709)</f>
        <v>29713.49</v>
      </c>
      <c r="E710" s="27">
        <f t="shared" si="88"/>
        <v>29630.16</v>
      </c>
      <c r="F710" s="27">
        <f t="shared" si="88"/>
        <v>29630.16</v>
      </c>
      <c r="G710" s="27">
        <f t="shared" si="88"/>
        <v>29630.16</v>
      </c>
      <c r="H710" s="27">
        <f t="shared" si="88"/>
        <v>29630.16</v>
      </c>
      <c r="I710" s="27">
        <f t="shared" si="88"/>
        <v>29630.16</v>
      </c>
      <c r="J710" s="27">
        <f t="shared" si="88"/>
        <v>29630.16</v>
      </c>
      <c r="K710" s="40">
        <f t="shared" si="88"/>
        <v>29630.16</v>
      </c>
      <c r="L710" s="27">
        <f t="shared" si="88"/>
        <v>29630.16</v>
      </c>
      <c r="M710" s="27">
        <f t="shared" si="88"/>
        <v>29630.16</v>
      </c>
      <c r="N710" s="27">
        <f t="shared" si="88"/>
        <v>29630.16</v>
      </c>
      <c r="O710" s="27">
        <f t="shared" si="88"/>
        <v>29630.16</v>
      </c>
      <c r="P710" s="27">
        <f t="shared" si="88"/>
        <v>355645.24999999994</v>
      </c>
    </row>
    <row r="711" spans="1:16" ht="14.1" customHeight="1" x14ac:dyDescent="0.2">
      <c r="C711" s="12"/>
    </row>
    <row r="712" spans="1:16" ht="14.1" customHeight="1" x14ac:dyDescent="0.25">
      <c r="A712" s="1">
        <f>A700</f>
        <v>45</v>
      </c>
      <c r="B712" s="1" t="s">
        <v>252</v>
      </c>
      <c r="C712" s="5" t="s">
        <v>223</v>
      </c>
    </row>
    <row r="713" spans="1:16" ht="14.1" customHeight="1" x14ac:dyDescent="0.2">
      <c r="C713" s="4" t="s">
        <v>3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39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f>SUM(D713:O713)</f>
        <v>0</v>
      </c>
    </row>
    <row r="714" spans="1:16" ht="14.1" customHeight="1" x14ac:dyDescent="0.2">
      <c r="C714" s="4" t="s">
        <v>4</v>
      </c>
      <c r="D714" s="47">
        <v>89.08</v>
      </c>
      <c r="P714" s="26">
        <f>SUM(D714:O714)</f>
        <v>89.08</v>
      </c>
    </row>
    <row r="715" spans="1:16" ht="14.1" customHeight="1" thickBot="1" x14ac:dyDescent="0.25">
      <c r="C715" s="4" t="s">
        <v>5</v>
      </c>
      <c r="D715" s="26">
        <v>31824.99</v>
      </c>
      <c r="E715" s="26">
        <v>31824.99</v>
      </c>
      <c r="F715" s="26">
        <v>31824.99</v>
      </c>
      <c r="G715" s="26">
        <v>31824.99</v>
      </c>
      <c r="H715" s="26">
        <v>31824.99</v>
      </c>
      <c r="I715" s="26">
        <v>31824.99</v>
      </c>
      <c r="J715" s="26">
        <v>31824.99</v>
      </c>
      <c r="K715" s="39">
        <v>31824.99</v>
      </c>
      <c r="L715" s="26">
        <v>31824.99</v>
      </c>
      <c r="M715" s="26">
        <v>31824.99</v>
      </c>
      <c r="N715" s="26">
        <v>31824.99</v>
      </c>
      <c r="O715" s="26">
        <v>31824.99</v>
      </c>
      <c r="P715" s="26">
        <f>SUM(D715:O715)</f>
        <v>381899.87999999995</v>
      </c>
    </row>
    <row r="716" spans="1:16" ht="14.1" customHeight="1" thickBot="1" x14ac:dyDescent="0.25">
      <c r="C716" s="6" t="s">
        <v>83</v>
      </c>
      <c r="D716" s="27">
        <f t="shared" ref="D716:P716" si="89">SUM(D713:D715)</f>
        <v>31914.070000000003</v>
      </c>
      <c r="E716" s="27">
        <f t="shared" si="89"/>
        <v>31824.99</v>
      </c>
      <c r="F716" s="27">
        <f t="shared" si="89"/>
        <v>31824.99</v>
      </c>
      <c r="G716" s="27">
        <f t="shared" si="89"/>
        <v>31824.99</v>
      </c>
      <c r="H716" s="27">
        <f t="shared" si="89"/>
        <v>31824.99</v>
      </c>
      <c r="I716" s="27">
        <f t="shared" si="89"/>
        <v>31824.99</v>
      </c>
      <c r="J716" s="27">
        <f t="shared" si="89"/>
        <v>31824.99</v>
      </c>
      <c r="K716" s="40">
        <f t="shared" si="89"/>
        <v>31824.99</v>
      </c>
      <c r="L716" s="27">
        <f t="shared" si="89"/>
        <v>31824.99</v>
      </c>
      <c r="M716" s="27">
        <f t="shared" si="89"/>
        <v>31824.99</v>
      </c>
      <c r="N716" s="27">
        <f t="shared" si="89"/>
        <v>31824.99</v>
      </c>
      <c r="O716" s="27">
        <f t="shared" si="89"/>
        <v>31824.99</v>
      </c>
      <c r="P716" s="27">
        <f t="shared" si="89"/>
        <v>381988.95999999996</v>
      </c>
    </row>
    <row r="717" spans="1:16" ht="14.1" customHeight="1" x14ac:dyDescent="0.2">
      <c r="C717" s="12"/>
    </row>
    <row r="718" spans="1:16" ht="14.1" customHeight="1" x14ac:dyDescent="0.25">
      <c r="A718" s="1">
        <f>+A700+1</f>
        <v>46</v>
      </c>
      <c r="B718" s="45" t="s">
        <v>103</v>
      </c>
      <c r="C718" s="36" t="s">
        <v>224</v>
      </c>
    </row>
    <row r="719" spans="1:16" ht="14.1" customHeight="1" x14ac:dyDescent="0.2">
      <c r="C719" s="4" t="s">
        <v>3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39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f>SUM(D719:O719)</f>
        <v>0</v>
      </c>
    </row>
    <row r="720" spans="1:16" ht="14.1" customHeight="1" x14ac:dyDescent="0.2">
      <c r="C720" s="4" t="s">
        <v>4</v>
      </c>
      <c r="D720" s="47">
        <v>250</v>
      </c>
      <c r="E720" s="47"/>
      <c r="F720" s="47"/>
      <c r="G720" s="47"/>
      <c r="H720" s="47"/>
      <c r="I720" s="47"/>
      <c r="J720" s="47"/>
      <c r="K720" s="55"/>
      <c r="L720" s="47"/>
      <c r="M720" s="47"/>
      <c r="N720" s="47"/>
      <c r="O720" s="47"/>
      <c r="P720" s="26">
        <f>SUM(D720:O720)</f>
        <v>250</v>
      </c>
    </row>
    <row r="721" spans="1:16" ht="14.1" customHeight="1" thickBot="1" x14ac:dyDescent="0.25">
      <c r="C721" s="4" t="s">
        <v>5</v>
      </c>
      <c r="D721" s="26">
        <v>19753.439999999999</v>
      </c>
      <c r="E721" s="26">
        <v>19753.439999999999</v>
      </c>
      <c r="F721" s="26">
        <v>19753.439999999999</v>
      </c>
      <c r="G721" s="26">
        <v>19753.439999999999</v>
      </c>
      <c r="H721" s="26">
        <v>19753.439999999999</v>
      </c>
      <c r="I721" s="26">
        <v>19753.439999999999</v>
      </c>
      <c r="J721" s="26">
        <v>19753.439999999999</v>
      </c>
      <c r="K721" s="39">
        <v>19753.439999999999</v>
      </c>
      <c r="L721" s="26">
        <v>19753.439999999999</v>
      </c>
      <c r="M721" s="26">
        <v>19753.439999999999</v>
      </c>
      <c r="N721" s="26">
        <v>19753.439999999999</v>
      </c>
      <c r="O721" s="26">
        <v>19753.439999999999</v>
      </c>
      <c r="P721" s="26">
        <f>SUM(D721:O721)</f>
        <v>237041.28</v>
      </c>
    </row>
    <row r="722" spans="1:16" ht="14.1" customHeight="1" thickBot="1" x14ac:dyDescent="0.25">
      <c r="C722" s="6" t="s">
        <v>225</v>
      </c>
      <c r="D722" s="27">
        <f t="shared" ref="D722:P722" si="90">SUM(D719:D721)</f>
        <v>20003.439999999999</v>
      </c>
      <c r="E722" s="27">
        <f t="shared" si="90"/>
        <v>19753.439999999999</v>
      </c>
      <c r="F722" s="27">
        <f t="shared" si="90"/>
        <v>19753.439999999999</v>
      </c>
      <c r="G722" s="27">
        <f t="shared" si="90"/>
        <v>19753.439999999999</v>
      </c>
      <c r="H722" s="27">
        <f t="shared" si="90"/>
        <v>19753.439999999999</v>
      </c>
      <c r="I722" s="27">
        <f t="shared" si="90"/>
        <v>19753.439999999999</v>
      </c>
      <c r="J722" s="27">
        <f t="shared" si="90"/>
        <v>19753.439999999999</v>
      </c>
      <c r="K722" s="40">
        <f t="shared" si="90"/>
        <v>19753.439999999999</v>
      </c>
      <c r="L722" s="27">
        <f t="shared" si="90"/>
        <v>19753.439999999999</v>
      </c>
      <c r="M722" s="27">
        <f t="shared" si="90"/>
        <v>19753.439999999999</v>
      </c>
      <c r="N722" s="27">
        <f t="shared" si="90"/>
        <v>19753.439999999999</v>
      </c>
      <c r="O722" s="27">
        <f t="shared" si="90"/>
        <v>19753.439999999999</v>
      </c>
      <c r="P722" s="27">
        <f t="shared" si="90"/>
        <v>237291.28</v>
      </c>
    </row>
    <row r="723" spans="1:16" ht="14.1" customHeight="1" x14ac:dyDescent="0.2">
      <c r="C723" s="12"/>
    </row>
    <row r="724" spans="1:16" ht="14.1" customHeight="1" x14ac:dyDescent="0.25">
      <c r="A724" s="1">
        <f>A718+1</f>
        <v>47</v>
      </c>
      <c r="B724" s="21"/>
      <c r="C724" s="5" t="s">
        <v>226</v>
      </c>
    </row>
    <row r="725" spans="1:16" ht="14.1" customHeight="1" x14ac:dyDescent="0.2">
      <c r="C725" s="4" t="s">
        <v>3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39">
        <v>0</v>
      </c>
      <c r="L725" s="26">
        <v>0</v>
      </c>
      <c r="M725" s="26">
        <v>0</v>
      </c>
      <c r="N725" s="26">
        <v>0</v>
      </c>
      <c r="O725" s="26">
        <v>0</v>
      </c>
      <c r="P725" s="49">
        <f>SUM(D725:O725)</f>
        <v>0</v>
      </c>
    </row>
    <row r="726" spans="1:16" ht="14.1" customHeight="1" x14ac:dyDescent="0.2">
      <c r="C726" s="4" t="s">
        <v>4</v>
      </c>
      <c r="D726" s="47">
        <v>250</v>
      </c>
      <c r="E726" s="47"/>
      <c r="F726" s="47"/>
      <c r="G726" s="47"/>
      <c r="H726" s="47"/>
      <c r="I726" s="47"/>
      <c r="J726" s="47"/>
      <c r="K726" s="55"/>
      <c r="L726" s="47"/>
      <c r="M726" s="47"/>
      <c r="N726" s="47"/>
      <c r="O726" s="47"/>
      <c r="P726" s="49">
        <f>SUM(D726:O726)</f>
        <v>250</v>
      </c>
    </row>
    <row r="727" spans="1:16" ht="14.1" customHeight="1" thickBot="1" x14ac:dyDescent="0.25">
      <c r="C727" s="4" t="s">
        <v>5</v>
      </c>
      <c r="D727" s="47">
        <f>60416.67+130742.5</f>
        <v>191159.16999999998</v>
      </c>
      <c r="E727" s="47">
        <f>60416.67+130742.5</f>
        <v>191159.16999999998</v>
      </c>
      <c r="F727" s="47">
        <f>60416.67+130742.5</f>
        <v>191159.16999999998</v>
      </c>
      <c r="G727" s="47">
        <f>60416.67+130742.5</f>
        <v>191159.16999999998</v>
      </c>
      <c r="H727" s="47">
        <f>60416.63+130742.5</f>
        <v>191159.13</v>
      </c>
      <c r="I727" s="47">
        <f>62916.67+128205</f>
        <v>191121.66999999998</v>
      </c>
      <c r="J727" s="47">
        <f t="shared" ref="J727:O727" si="91">62916.67+128205</f>
        <v>191121.66999999998</v>
      </c>
      <c r="K727" s="55">
        <f t="shared" si="91"/>
        <v>191121.66999999998</v>
      </c>
      <c r="L727" s="47">
        <f t="shared" si="91"/>
        <v>191121.66999999998</v>
      </c>
      <c r="M727" s="47">
        <f t="shared" si="91"/>
        <v>191121.66999999998</v>
      </c>
      <c r="N727" s="47">
        <f t="shared" si="91"/>
        <v>191121.66999999998</v>
      </c>
      <c r="O727" s="47">
        <f t="shared" si="91"/>
        <v>191121.66999999998</v>
      </c>
      <c r="P727" s="49">
        <f>SUM(D727:O727)</f>
        <v>2293647.4999999995</v>
      </c>
    </row>
    <row r="728" spans="1:16" ht="14.1" customHeight="1" thickBot="1" x14ac:dyDescent="0.25">
      <c r="C728" s="6" t="s">
        <v>116</v>
      </c>
      <c r="D728" s="50">
        <f t="shared" ref="D728:P728" si="92">SUM(D725:D727)</f>
        <v>191409.16999999998</v>
      </c>
      <c r="E728" s="50">
        <f t="shared" si="92"/>
        <v>191159.16999999998</v>
      </c>
      <c r="F728" s="50">
        <f t="shared" si="92"/>
        <v>191159.16999999998</v>
      </c>
      <c r="G728" s="50">
        <f t="shared" si="92"/>
        <v>191159.16999999998</v>
      </c>
      <c r="H728" s="50">
        <f t="shared" si="92"/>
        <v>191159.13</v>
      </c>
      <c r="I728" s="50">
        <f t="shared" si="92"/>
        <v>191121.66999999998</v>
      </c>
      <c r="J728" s="50">
        <f t="shared" si="92"/>
        <v>191121.66999999998</v>
      </c>
      <c r="K728" s="52">
        <f t="shared" si="92"/>
        <v>191121.66999999998</v>
      </c>
      <c r="L728" s="50">
        <f t="shared" si="92"/>
        <v>191121.66999999998</v>
      </c>
      <c r="M728" s="50">
        <f t="shared" si="92"/>
        <v>191121.66999999998</v>
      </c>
      <c r="N728" s="50">
        <f t="shared" si="92"/>
        <v>191121.66999999998</v>
      </c>
      <c r="O728" s="50">
        <f t="shared" si="92"/>
        <v>191121.66999999998</v>
      </c>
      <c r="P728" s="50">
        <f t="shared" si="92"/>
        <v>2293897.4999999995</v>
      </c>
    </row>
    <row r="729" spans="1:16" ht="14.1" customHeight="1" x14ac:dyDescent="0.2">
      <c r="C729" s="12"/>
      <c r="D729" s="47"/>
      <c r="E729" s="47"/>
      <c r="F729" s="47"/>
      <c r="G729" s="47"/>
      <c r="H729" s="47"/>
      <c r="I729" s="47"/>
      <c r="J729" s="47"/>
      <c r="K729" s="55"/>
      <c r="L729" s="47"/>
      <c r="M729" s="47"/>
      <c r="N729" s="47"/>
      <c r="O729" s="47"/>
      <c r="P729" s="47"/>
    </row>
    <row r="730" spans="1:16" ht="14.1" customHeight="1" x14ac:dyDescent="0.25">
      <c r="A730" s="1">
        <f>A724+1</f>
        <v>48</v>
      </c>
      <c r="B730" s="21"/>
      <c r="C730" s="5" t="s">
        <v>227</v>
      </c>
    </row>
    <row r="731" spans="1:16" ht="14.1" customHeight="1" x14ac:dyDescent="0.2">
      <c r="C731" s="4" t="s">
        <v>3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39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f>SUM(D731:O731)</f>
        <v>0</v>
      </c>
    </row>
    <row r="732" spans="1:16" ht="14.1" customHeight="1" x14ac:dyDescent="0.2">
      <c r="C732" s="4" t="s">
        <v>4</v>
      </c>
      <c r="D732" s="47">
        <v>250</v>
      </c>
      <c r="E732" s="47"/>
      <c r="F732" s="47"/>
      <c r="G732" s="47"/>
      <c r="H732" s="47"/>
      <c r="I732" s="47"/>
      <c r="J732" s="47"/>
      <c r="K732" s="55"/>
      <c r="L732" s="47"/>
      <c r="M732" s="47"/>
      <c r="N732" s="47"/>
      <c r="O732" s="47"/>
      <c r="P732" s="26">
        <f>SUM(D732:O732)</f>
        <v>250</v>
      </c>
    </row>
    <row r="733" spans="1:16" ht="14.1" customHeight="1" thickBot="1" x14ac:dyDescent="0.25">
      <c r="C733" s="4" t="s">
        <v>5</v>
      </c>
      <c r="D733" s="47">
        <f>14191.66+17116.77</f>
        <v>31308.43</v>
      </c>
      <c r="E733" s="47">
        <f>14191.66+17116.77</f>
        <v>31308.43</v>
      </c>
      <c r="F733" s="47">
        <f>14191.66+17116.77</f>
        <v>31308.43</v>
      </c>
      <c r="G733" s="47">
        <f>14191.66+17116.77</f>
        <v>31308.43</v>
      </c>
      <c r="H733" s="47">
        <f>14191.66+17116.77</f>
        <v>31308.43</v>
      </c>
      <c r="I733" s="47">
        <f>14688.37+16620.06</f>
        <v>31308.43</v>
      </c>
      <c r="J733" s="47">
        <f t="shared" ref="J733:O733" si="93">14688.37+16620.06</f>
        <v>31308.43</v>
      </c>
      <c r="K733" s="55">
        <f t="shared" si="93"/>
        <v>31308.43</v>
      </c>
      <c r="L733" s="47">
        <f t="shared" si="93"/>
        <v>31308.43</v>
      </c>
      <c r="M733" s="47">
        <f t="shared" si="93"/>
        <v>31308.43</v>
      </c>
      <c r="N733" s="47">
        <f t="shared" si="93"/>
        <v>31308.43</v>
      </c>
      <c r="O733" s="47">
        <f t="shared" si="93"/>
        <v>31308.43</v>
      </c>
      <c r="P733" s="26">
        <f>SUM(D733:O733)</f>
        <v>375701.16</v>
      </c>
    </row>
    <row r="734" spans="1:16" ht="14.1" customHeight="1" thickBot="1" x14ac:dyDescent="0.25">
      <c r="C734" s="6" t="s">
        <v>111</v>
      </c>
      <c r="D734" s="27">
        <f t="shared" ref="D734:P734" si="94">SUM(D731:D733)</f>
        <v>31558.43</v>
      </c>
      <c r="E734" s="27">
        <f t="shared" si="94"/>
        <v>31308.43</v>
      </c>
      <c r="F734" s="27">
        <f t="shared" si="94"/>
        <v>31308.43</v>
      </c>
      <c r="G734" s="27">
        <f t="shared" si="94"/>
        <v>31308.43</v>
      </c>
      <c r="H734" s="27">
        <f t="shared" si="94"/>
        <v>31308.43</v>
      </c>
      <c r="I734" s="27">
        <f t="shared" si="94"/>
        <v>31308.43</v>
      </c>
      <c r="J734" s="27">
        <f t="shared" si="94"/>
        <v>31308.43</v>
      </c>
      <c r="K734" s="40">
        <f t="shared" si="94"/>
        <v>31308.43</v>
      </c>
      <c r="L734" s="27">
        <f t="shared" si="94"/>
        <v>31308.43</v>
      </c>
      <c r="M734" s="27">
        <f t="shared" si="94"/>
        <v>31308.43</v>
      </c>
      <c r="N734" s="27">
        <f t="shared" si="94"/>
        <v>31308.43</v>
      </c>
      <c r="O734" s="27">
        <f t="shared" si="94"/>
        <v>31308.43</v>
      </c>
      <c r="P734" s="27">
        <f t="shared" si="94"/>
        <v>375951.16</v>
      </c>
    </row>
    <row r="735" spans="1:16" ht="14.1" customHeight="1" x14ac:dyDescent="0.2">
      <c r="C735" s="12"/>
    </row>
    <row r="736" spans="1:16" ht="14.1" customHeight="1" x14ac:dyDescent="0.25">
      <c r="B736" s="42" t="s">
        <v>105</v>
      </c>
      <c r="C736" s="30" t="s">
        <v>228</v>
      </c>
    </row>
    <row r="737" spans="1:16" ht="14.1" customHeight="1" x14ac:dyDescent="0.2">
      <c r="C737" s="4" t="s">
        <v>3</v>
      </c>
    </row>
    <row r="738" spans="1:16" ht="14.1" customHeight="1" x14ac:dyDescent="0.2">
      <c r="C738" s="4" t="s">
        <v>4</v>
      </c>
    </row>
    <row r="739" spans="1:16" ht="14.1" customHeight="1" thickBot="1" x14ac:dyDescent="0.25">
      <c r="C739" s="4" t="s">
        <v>5</v>
      </c>
    </row>
    <row r="740" spans="1:16" ht="14.1" customHeight="1" thickBot="1" x14ac:dyDescent="0.25">
      <c r="C740" s="6" t="s">
        <v>229</v>
      </c>
    </row>
    <row r="741" spans="1:16" ht="14.1" customHeight="1" x14ac:dyDescent="0.2">
      <c r="C741" s="12"/>
    </row>
    <row r="742" spans="1:16" ht="14.1" customHeight="1" x14ac:dyDescent="0.25">
      <c r="A742" s="1">
        <f>A730+1</f>
        <v>49</v>
      </c>
      <c r="B742" s="21"/>
      <c r="C742" s="5" t="s">
        <v>188</v>
      </c>
    </row>
    <row r="743" spans="1:16" ht="14.1" customHeight="1" x14ac:dyDescent="0.2">
      <c r="C743" s="4" t="s">
        <v>3</v>
      </c>
      <c r="D743" s="26">
        <v>250</v>
      </c>
      <c r="E743" s="26">
        <v>250</v>
      </c>
      <c r="F743" s="26">
        <v>250</v>
      </c>
      <c r="G743" s="26">
        <v>250</v>
      </c>
      <c r="H743" s="26">
        <v>250</v>
      </c>
      <c r="I743" s="47">
        <v>244.17</v>
      </c>
      <c r="J743" s="47">
        <v>244.17</v>
      </c>
      <c r="K743" s="55">
        <v>244.17</v>
      </c>
      <c r="L743" s="47">
        <v>244.17</v>
      </c>
      <c r="M743" s="47">
        <v>244.17</v>
      </c>
      <c r="N743" s="47">
        <v>244.17</v>
      </c>
      <c r="O743" s="47">
        <v>244.17</v>
      </c>
      <c r="P743" s="26">
        <f>SUM(D743:O743)</f>
        <v>2959.1900000000005</v>
      </c>
    </row>
    <row r="744" spans="1:16" ht="14.1" customHeight="1" x14ac:dyDescent="0.2">
      <c r="C744" s="4" t="s">
        <v>4</v>
      </c>
      <c r="D744" s="47">
        <v>250</v>
      </c>
      <c r="E744" s="47"/>
      <c r="F744" s="47"/>
      <c r="G744" s="47"/>
      <c r="H744" s="47"/>
      <c r="I744" s="47"/>
      <c r="J744" s="47"/>
      <c r="K744" s="55"/>
      <c r="L744" s="47"/>
      <c r="M744" s="47"/>
      <c r="N744" s="47"/>
      <c r="O744" s="47"/>
      <c r="P744" s="26">
        <f>SUM(D744:O744)</f>
        <v>250</v>
      </c>
    </row>
    <row r="745" spans="1:16" ht="14.1" customHeight="1" thickBot="1" x14ac:dyDescent="0.25">
      <c r="C745" s="4" t="s">
        <v>5</v>
      </c>
      <c r="D745" s="47">
        <f>5833.33+8877.61</f>
        <v>14710.94</v>
      </c>
      <c r="E745" s="47">
        <f>5833.33+8877.61</f>
        <v>14710.94</v>
      </c>
      <c r="F745" s="47">
        <f>5833.33+8877.61</f>
        <v>14710.94</v>
      </c>
      <c r="G745" s="47">
        <f>5833.33+8877.61</f>
        <v>14710.94</v>
      </c>
      <c r="H745" s="47">
        <f>5833.33+8877.61</f>
        <v>14710.94</v>
      </c>
      <c r="I745" s="47">
        <f>5833.37+8877.58</f>
        <v>14710.95</v>
      </c>
      <c r="J745" s="47">
        <f>5833.33+8760.94</f>
        <v>14594.27</v>
      </c>
      <c r="K745" s="55">
        <f>5833.33+8760.94</f>
        <v>14594.27</v>
      </c>
      <c r="L745" s="47">
        <f>5833.33+8760.94</f>
        <v>14594.27</v>
      </c>
      <c r="M745" s="47">
        <f>5833.33+8760.94</f>
        <v>14594.27</v>
      </c>
      <c r="N745" s="47">
        <f>5833.33+8760.94</f>
        <v>14594.27</v>
      </c>
      <c r="O745" s="47">
        <f>5833.33+8760.93</f>
        <v>14594.26</v>
      </c>
      <c r="P745" s="26">
        <f>SUM(D745:O745)</f>
        <v>175831.25999999998</v>
      </c>
    </row>
    <row r="746" spans="1:16" ht="14.1" customHeight="1" thickBot="1" x14ac:dyDescent="0.25">
      <c r="C746" s="6" t="s">
        <v>189</v>
      </c>
      <c r="D746" s="27">
        <f t="shared" ref="D746:P746" si="95">SUM(D743:D745)</f>
        <v>15210.94</v>
      </c>
      <c r="E746" s="27">
        <f t="shared" si="95"/>
        <v>14960.94</v>
      </c>
      <c r="F746" s="27">
        <f t="shared" si="95"/>
        <v>14960.94</v>
      </c>
      <c r="G746" s="27">
        <f t="shared" si="95"/>
        <v>14960.94</v>
      </c>
      <c r="H746" s="27">
        <f t="shared" si="95"/>
        <v>14960.94</v>
      </c>
      <c r="I746" s="27">
        <f t="shared" si="95"/>
        <v>14955.12</v>
      </c>
      <c r="J746" s="27">
        <f t="shared" si="95"/>
        <v>14838.44</v>
      </c>
      <c r="K746" s="40">
        <f t="shared" si="95"/>
        <v>14838.44</v>
      </c>
      <c r="L746" s="27">
        <f t="shared" si="95"/>
        <v>14838.44</v>
      </c>
      <c r="M746" s="27">
        <f t="shared" si="95"/>
        <v>14838.44</v>
      </c>
      <c r="N746" s="27">
        <f t="shared" si="95"/>
        <v>14838.44</v>
      </c>
      <c r="O746" s="27">
        <f t="shared" si="95"/>
        <v>14838.43</v>
      </c>
      <c r="P746" s="27">
        <f t="shared" si="95"/>
        <v>179040.44999999998</v>
      </c>
    </row>
    <row r="747" spans="1:16" ht="14.1" customHeight="1" x14ac:dyDescent="0.2">
      <c r="C747" s="12"/>
    </row>
    <row r="748" spans="1:16" ht="14.1" customHeight="1" x14ac:dyDescent="0.25">
      <c r="A748" s="1">
        <f>A742+1</f>
        <v>50</v>
      </c>
      <c r="B748" s="21"/>
      <c r="C748" s="5" t="s">
        <v>230</v>
      </c>
    </row>
    <row r="749" spans="1:16" ht="14.1" customHeight="1" x14ac:dyDescent="0.2">
      <c r="C749" s="4" t="s">
        <v>3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39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f>SUM(D749:O749)</f>
        <v>0</v>
      </c>
    </row>
    <row r="750" spans="1:16" ht="14.1" customHeight="1" x14ac:dyDescent="0.2">
      <c r="C750" s="4" t="s">
        <v>4</v>
      </c>
      <c r="D750" s="47">
        <v>250</v>
      </c>
      <c r="E750" s="47"/>
      <c r="F750" s="47"/>
      <c r="G750" s="47"/>
      <c r="H750" s="47"/>
      <c r="I750" s="47"/>
      <c r="J750" s="47"/>
      <c r="K750" s="55"/>
      <c r="L750" s="47"/>
      <c r="M750" s="47"/>
      <c r="N750" s="47"/>
      <c r="O750" s="47"/>
      <c r="P750" s="26">
        <f>SUM(D750:O750)</f>
        <v>250</v>
      </c>
    </row>
    <row r="751" spans="1:16" ht="14.1" customHeight="1" thickBot="1" x14ac:dyDescent="0.25">
      <c r="C751" s="4" t="s">
        <v>5</v>
      </c>
      <c r="D751" s="26">
        <f t="shared" ref="D751:L751" si="96">10833.33+39945.83</f>
        <v>50779.16</v>
      </c>
      <c r="E751" s="26">
        <f t="shared" si="96"/>
        <v>50779.16</v>
      </c>
      <c r="F751" s="26">
        <f t="shared" si="96"/>
        <v>50779.16</v>
      </c>
      <c r="G751" s="26">
        <f>10833.33+39945.85</f>
        <v>50779.18</v>
      </c>
      <c r="H751" s="26">
        <f t="shared" si="96"/>
        <v>50779.16</v>
      </c>
      <c r="I751" s="26">
        <f t="shared" si="96"/>
        <v>50779.16</v>
      </c>
      <c r="J751" s="26">
        <f t="shared" si="96"/>
        <v>50779.16</v>
      </c>
      <c r="K751" s="39">
        <f t="shared" si="96"/>
        <v>50779.16</v>
      </c>
      <c r="L751" s="26">
        <f t="shared" si="96"/>
        <v>50779.16</v>
      </c>
      <c r="M751" s="26">
        <f>10833.37+39945.85</f>
        <v>50779.22</v>
      </c>
      <c r="N751" s="47">
        <f>11250+39256.25</f>
        <v>50506.25</v>
      </c>
      <c r="O751" s="47">
        <f>11250+39256.25</f>
        <v>50506.25</v>
      </c>
      <c r="P751" s="26">
        <f>SUM(D751:O751)</f>
        <v>608804.18000000005</v>
      </c>
    </row>
    <row r="752" spans="1:16" ht="14.1" customHeight="1" thickBot="1" x14ac:dyDescent="0.25">
      <c r="C752" s="6" t="s">
        <v>187</v>
      </c>
      <c r="D752" s="27">
        <f t="shared" ref="D752:P752" si="97">SUM(D749:D751)</f>
        <v>51029.16</v>
      </c>
      <c r="E752" s="27">
        <f t="shared" si="97"/>
        <v>50779.16</v>
      </c>
      <c r="F752" s="27">
        <f t="shared" si="97"/>
        <v>50779.16</v>
      </c>
      <c r="G752" s="27">
        <f t="shared" si="97"/>
        <v>50779.18</v>
      </c>
      <c r="H752" s="27">
        <f t="shared" si="97"/>
        <v>50779.16</v>
      </c>
      <c r="I752" s="27">
        <f t="shared" si="97"/>
        <v>50779.16</v>
      </c>
      <c r="J752" s="27">
        <f t="shared" si="97"/>
        <v>50779.16</v>
      </c>
      <c r="K752" s="40">
        <f t="shared" si="97"/>
        <v>50779.16</v>
      </c>
      <c r="L752" s="27">
        <f t="shared" si="97"/>
        <v>50779.16</v>
      </c>
      <c r="M752" s="27">
        <f t="shared" si="97"/>
        <v>50779.22</v>
      </c>
      <c r="N752" s="27">
        <f t="shared" si="97"/>
        <v>50506.25</v>
      </c>
      <c r="O752" s="27">
        <f t="shared" si="97"/>
        <v>50506.25</v>
      </c>
      <c r="P752" s="27">
        <f t="shared" si="97"/>
        <v>609054.18000000005</v>
      </c>
    </row>
    <row r="753" spans="1:16" ht="14.1" customHeight="1" x14ac:dyDescent="0.2">
      <c r="C753" s="12"/>
    </row>
    <row r="754" spans="1:16" ht="14.1" customHeight="1" x14ac:dyDescent="0.25">
      <c r="A754" s="1">
        <f>A748+1</f>
        <v>51</v>
      </c>
      <c r="B754" s="21"/>
      <c r="C754" s="5" t="s">
        <v>231</v>
      </c>
    </row>
    <row r="755" spans="1:16" ht="14.1" customHeight="1" x14ac:dyDescent="0.2">
      <c r="C755" s="4" t="s">
        <v>3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39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f>SUM(D755:O755)</f>
        <v>0</v>
      </c>
    </row>
    <row r="756" spans="1:16" ht="14.1" customHeight="1" x14ac:dyDescent="0.2">
      <c r="C756" s="4" t="s">
        <v>4</v>
      </c>
      <c r="D756" s="47">
        <v>250</v>
      </c>
      <c r="E756" s="47"/>
      <c r="F756" s="47"/>
      <c r="G756" s="47"/>
      <c r="H756" s="47"/>
      <c r="I756" s="47"/>
      <c r="J756" s="47"/>
      <c r="K756" s="55"/>
      <c r="L756" s="47"/>
      <c r="M756" s="47"/>
      <c r="N756" s="47"/>
      <c r="O756" s="47"/>
      <c r="P756" s="26">
        <f>SUM(D756:O756)</f>
        <v>250</v>
      </c>
    </row>
    <row r="757" spans="1:16" ht="14.1" customHeight="1" thickBot="1" x14ac:dyDescent="0.25">
      <c r="C757" s="4" t="s">
        <v>5</v>
      </c>
      <c r="D757" s="26">
        <f t="shared" ref="D757:N757" si="98">5416.67+23375</f>
        <v>28791.67</v>
      </c>
      <c r="E757" s="26">
        <f t="shared" si="98"/>
        <v>28791.67</v>
      </c>
      <c r="F757" s="26">
        <f t="shared" si="98"/>
        <v>28791.67</v>
      </c>
      <c r="G757" s="26">
        <f t="shared" si="98"/>
        <v>28791.67</v>
      </c>
      <c r="H757" s="26">
        <f t="shared" si="98"/>
        <v>28791.67</v>
      </c>
      <c r="I757" s="26">
        <f t="shared" si="98"/>
        <v>28791.67</v>
      </c>
      <c r="J757" s="26">
        <f t="shared" si="98"/>
        <v>28791.67</v>
      </c>
      <c r="K757" s="39">
        <f t="shared" si="98"/>
        <v>28791.67</v>
      </c>
      <c r="L757" s="26">
        <f t="shared" si="98"/>
        <v>28791.67</v>
      </c>
      <c r="M757" s="26">
        <f t="shared" si="98"/>
        <v>28791.67</v>
      </c>
      <c r="N757" s="26">
        <f t="shared" si="98"/>
        <v>28791.67</v>
      </c>
      <c r="O757" s="47">
        <f>5416.67+23090.63</f>
        <v>28507.300000000003</v>
      </c>
      <c r="P757" s="26">
        <f>SUM(D757:O757)</f>
        <v>345215.66999999987</v>
      </c>
    </row>
    <row r="758" spans="1:16" ht="14.1" customHeight="1" thickBot="1" x14ac:dyDescent="0.25">
      <c r="C758" s="6" t="s">
        <v>232</v>
      </c>
      <c r="D758" s="27">
        <f t="shared" ref="D758:P758" si="99">SUM(D755:D757)</f>
        <v>29041.67</v>
      </c>
      <c r="E758" s="27">
        <f t="shared" si="99"/>
        <v>28791.67</v>
      </c>
      <c r="F758" s="27">
        <f t="shared" si="99"/>
        <v>28791.67</v>
      </c>
      <c r="G758" s="27">
        <f t="shared" si="99"/>
        <v>28791.67</v>
      </c>
      <c r="H758" s="27">
        <f t="shared" si="99"/>
        <v>28791.67</v>
      </c>
      <c r="I758" s="27">
        <f t="shared" si="99"/>
        <v>28791.67</v>
      </c>
      <c r="J758" s="27">
        <f t="shared" si="99"/>
        <v>28791.67</v>
      </c>
      <c r="K758" s="40">
        <f t="shared" si="99"/>
        <v>28791.67</v>
      </c>
      <c r="L758" s="27">
        <f t="shared" si="99"/>
        <v>28791.67</v>
      </c>
      <c r="M758" s="27">
        <f t="shared" si="99"/>
        <v>28791.67</v>
      </c>
      <c r="N758" s="27">
        <f t="shared" si="99"/>
        <v>28791.67</v>
      </c>
      <c r="O758" s="27">
        <f t="shared" si="99"/>
        <v>28507.300000000003</v>
      </c>
      <c r="P758" s="27">
        <f t="shared" si="99"/>
        <v>345465.66999999987</v>
      </c>
    </row>
    <row r="759" spans="1:16" ht="14.1" customHeight="1" x14ac:dyDescent="0.2">
      <c r="C759" s="12"/>
    </row>
    <row r="760" spans="1:16" ht="14.1" customHeight="1" x14ac:dyDescent="0.25">
      <c r="A760" s="1">
        <f>A754+1</f>
        <v>52</v>
      </c>
      <c r="B760" s="21"/>
      <c r="C760" s="5" t="s">
        <v>233</v>
      </c>
    </row>
    <row r="761" spans="1:16" ht="14.1" customHeight="1" x14ac:dyDescent="0.2">
      <c r="C761" s="4" t="s">
        <v>3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39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f>SUM(D761:O761)</f>
        <v>0</v>
      </c>
    </row>
    <row r="762" spans="1:16" ht="14.1" customHeight="1" x14ac:dyDescent="0.2">
      <c r="C762" s="4" t="s">
        <v>4</v>
      </c>
      <c r="D762" s="47">
        <v>250</v>
      </c>
      <c r="E762" s="47"/>
      <c r="F762" s="47"/>
      <c r="G762" s="47"/>
      <c r="H762" s="47"/>
      <c r="I762" s="47"/>
      <c r="J762" s="47"/>
      <c r="K762" s="55"/>
      <c r="L762" s="47"/>
      <c r="M762" s="47"/>
      <c r="N762" s="47"/>
      <c r="O762" s="47"/>
      <c r="P762" s="26">
        <f>SUM(D762:O762)</f>
        <v>250</v>
      </c>
    </row>
    <row r="763" spans="1:16" ht="14.1" customHeight="1" thickBot="1" x14ac:dyDescent="0.25">
      <c r="C763" s="4" t="s">
        <v>5</v>
      </c>
      <c r="D763" s="26">
        <f t="shared" ref="D763:J763" si="100">27916.67+86208.75</f>
        <v>114125.42</v>
      </c>
      <c r="E763" s="26">
        <f t="shared" si="100"/>
        <v>114125.42</v>
      </c>
      <c r="F763" s="26">
        <f t="shared" si="100"/>
        <v>114125.42</v>
      </c>
      <c r="G763" s="26">
        <f t="shared" si="100"/>
        <v>114125.42</v>
      </c>
      <c r="H763" s="26">
        <f t="shared" si="100"/>
        <v>114125.42</v>
      </c>
      <c r="I763" s="26">
        <f t="shared" si="100"/>
        <v>114125.42</v>
      </c>
      <c r="J763" s="26">
        <f t="shared" si="100"/>
        <v>114125.42</v>
      </c>
      <c r="K763" s="39">
        <f>27916.63+86208.75</f>
        <v>114125.38</v>
      </c>
      <c r="L763" s="47">
        <f>30833.33+84854.79</f>
        <v>115688.12</v>
      </c>
      <c r="M763" s="47">
        <f>30833.33+84854.79</f>
        <v>115688.12</v>
      </c>
      <c r="N763" s="47">
        <f>30833.33+84854.79</f>
        <v>115688.12</v>
      </c>
      <c r="O763" s="47">
        <f>30833.33+84854.79</f>
        <v>115688.12</v>
      </c>
      <c r="P763" s="26">
        <f>SUM(D763:O763)</f>
        <v>1375755.8000000003</v>
      </c>
    </row>
    <row r="764" spans="1:16" ht="14.1" customHeight="1" thickBot="1" x14ac:dyDescent="0.25">
      <c r="C764" s="6" t="s">
        <v>183</v>
      </c>
      <c r="D764" s="27">
        <f t="shared" ref="D764:P764" si="101">SUM(D761:D763)</f>
        <v>114375.42</v>
      </c>
      <c r="E764" s="27">
        <f t="shared" si="101"/>
        <v>114125.42</v>
      </c>
      <c r="F764" s="27">
        <f t="shared" si="101"/>
        <v>114125.42</v>
      </c>
      <c r="G764" s="27">
        <f t="shared" si="101"/>
        <v>114125.42</v>
      </c>
      <c r="H764" s="27">
        <f t="shared" si="101"/>
        <v>114125.42</v>
      </c>
      <c r="I764" s="27">
        <f t="shared" si="101"/>
        <v>114125.42</v>
      </c>
      <c r="J764" s="27">
        <f t="shared" si="101"/>
        <v>114125.42</v>
      </c>
      <c r="K764" s="40">
        <f t="shared" si="101"/>
        <v>114125.38</v>
      </c>
      <c r="L764" s="27">
        <f t="shared" si="101"/>
        <v>115688.12</v>
      </c>
      <c r="M764" s="27">
        <f t="shared" si="101"/>
        <v>115688.12</v>
      </c>
      <c r="N764" s="27">
        <f t="shared" si="101"/>
        <v>115688.12</v>
      </c>
      <c r="O764" s="27">
        <f t="shared" si="101"/>
        <v>115688.12</v>
      </c>
      <c r="P764" s="27">
        <f t="shared" si="101"/>
        <v>1376005.8000000003</v>
      </c>
    </row>
    <row r="765" spans="1:16" ht="14.1" customHeight="1" x14ac:dyDescent="0.2">
      <c r="C765" s="12"/>
    </row>
    <row r="766" spans="1:16" ht="14.1" customHeight="1" x14ac:dyDescent="0.25">
      <c r="A766" s="1">
        <f>A760+1</f>
        <v>53</v>
      </c>
      <c r="B766" s="21"/>
      <c r="C766" s="5" t="s">
        <v>234</v>
      </c>
    </row>
    <row r="767" spans="1:16" ht="14.1" customHeight="1" x14ac:dyDescent="0.2">
      <c r="C767" s="4" t="s">
        <v>3</v>
      </c>
      <c r="D767" s="26">
        <v>1568.33</v>
      </c>
      <c r="E767" s="26">
        <v>1568.33</v>
      </c>
      <c r="F767" s="26">
        <v>1568.33</v>
      </c>
      <c r="G767" s="26">
        <v>1568.33</v>
      </c>
      <c r="H767" s="26">
        <v>1568.33</v>
      </c>
      <c r="I767" s="26">
        <v>1568.33</v>
      </c>
      <c r="J767" s="26">
        <v>1568.33</v>
      </c>
      <c r="K767" s="39">
        <v>1568.33</v>
      </c>
      <c r="L767" s="47">
        <v>1540.83</v>
      </c>
      <c r="M767" s="47">
        <v>1540.83</v>
      </c>
      <c r="N767" s="47">
        <v>1540.83</v>
      </c>
      <c r="O767" s="47">
        <v>1540.83</v>
      </c>
      <c r="P767" s="26">
        <f>SUM(D767:O767)</f>
        <v>18709.96</v>
      </c>
    </row>
    <row r="768" spans="1:16" ht="14.1" customHeight="1" x14ac:dyDescent="0.2">
      <c r="C768" s="4" t="s">
        <v>4</v>
      </c>
      <c r="D768" s="47">
        <v>250</v>
      </c>
      <c r="E768" s="47"/>
      <c r="F768" s="47"/>
      <c r="G768" s="47"/>
      <c r="H768" s="47"/>
      <c r="I768" s="47"/>
      <c r="J768" s="47"/>
      <c r="K768" s="55"/>
      <c r="L768" s="47"/>
      <c r="M768" s="47"/>
      <c r="N768" s="47"/>
      <c r="O768" s="47"/>
      <c r="P768" s="26">
        <f>SUM(D768:O768)</f>
        <v>250</v>
      </c>
    </row>
    <row r="769" spans="1:16" ht="14.1" customHeight="1" thickBot="1" x14ac:dyDescent="0.25">
      <c r="C769" s="4" t="s">
        <v>5</v>
      </c>
      <c r="D769" s="47">
        <f>28333.33+67375</f>
        <v>95708.33</v>
      </c>
      <c r="E769" s="47">
        <f t="shared" ref="E769:N769" si="102">28333.33+67375</f>
        <v>95708.33</v>
      </c>
      <c r="F769" s="47">
        <f t="shared" si="102"/>
        <v>95708.33</v>
      </c>
      <c r="G769" s="47">
        <f t="shared" si="102"/>
        <v>95708.33</v>
      </c>
      <c r="H769" s="47">
        <f t="shared" si="102"/>
        <v>95708.33</v>
      </c>
      <c r="I769" s="47">
        <f t="shared" si="102"/>
        <v>95708.33</v>
      </c>
      <c r="J769" s="47">
        <f t="shared" si="102"/>
        <v>95708.33</v>
      </c>
      <c r="K769" s="55">
        <f t="shared" si="102"/>
        <v>95708.33</v>
      </c>
      <c r="L769" s="47">
        <f t="shared" si="102"/>
        <v>95708.33</v>
      </c>
      <c r="M769" s="47">
        <f t="shared" si="102"/>
        <v>95708.33</v>
      </c>
      <c r="N769" s="47">
        <f t="shared" si="102"/>
        <v>95708.33</v>
      </c>
      <c r="O769" s="47">
        <f>28333.37+67375</f>
        <v>95708.37</v>
      </c>
      <c r="P769" s="26">
        <f>SUM(D769:O769)</f>
        <v>1148500</v>
      </c>
    </row>
    <row r="770" spans="1:16" ht="14.1" customHeight="1" thickBot="1" x14ac:dyDescent="0.25">
      <c r="C770" s="6" t="s">
        <v>235</v>
      </c>
      <c r="D770" s="27">
        <f t="shared" ref="D770:P770" si="103">SUM(D767:D769)</f>
        <v>97526.66</v>
      </c>
      <c r="E770" s="27">
        <f t="shared" si="103"/>
        <v>97276.66</v>
      </c>
      <c r="F770" s="27">
        <f t="shared" si="103"/>
        <v>97276.66</v>
      </c>
      <c r="G770" s="27">
        <f t="shared" si="103"/>
        <v>97276.66</v>
      </c>
      <c r="H770" s="27">
        <f t="shared" si="103"/>
        <v>97276.66</v>
      </c>
      <c r="I770" s="27">
        <f t="shared" si="103"/>
        <v>97276.66</v>
      </c>
      <c r="J770" s="27">
        <f t="shared" si="103"/>
        <v>97276.66</v>
      </c>
      <c r="K770" s="40">
        <f t="shared" si="103"/>
        <v>97276.66</v>
      </c>
      <c r="L770" s="27">
        <f t="shared" si="103"/>
        <v>97249.16</v>
      </c>
      <c r="M770" s="27">
        <f t="shared" si="103"/>
        <v>97249.16</v>
      </c>
      <c r="N770" s="27">
        <f t="shared" si="103"/>
        <v>97249.16</v>
      </c>
      <c r="O770" s="27">
        <f t="shared" si="103"/>
        <v>97249.2</v>
      </c>
      <c r="P770" s="27">
        <f t="shared" si="103"/>
        <v>1167459.96</v>
      </c>
    </row>
    <row r="771" spans="1:16" ht="14.1" customHeight="1" x14ac:dyDescent="0.2">
      <c r="C771" s="12"/>
    </row>
    <row r="772" spans="1:16" ht="14.1" customHeight="1" x14ac:dyDescent="0.25">
      <c r="A772" s="1">
        <f>A766+1</f>
        <v>54</v>
      </c>
      <c r="B772" s="21"/>
      <c r="C772" s="5" t="s">
        <v>236</v>
      </c>
    </row>
    <row r="773" spans="1:16" ht="14.1" customHeight="1" x14ac:dyDescent="0.2">
      <c r="C773" s="4" t="s">
        <v>3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39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f>SUM(D773:O773)</f>
        <v>0</v>
      </c>
    </row>
    <row r="774" spans="1:16" ht="14.1" customHeight="1" x14ac:dyDescent="0.2">
      <c r="C774" s="4" t="s">
        <v>4</v>
      </c>
      <c r="D774" s="47">
        <v>250</v>
      </c>
      <c r="E774" s="47"/>
      <c r="F774" s="47"/>
      <c r="G774" s="47"/>
      <c r="H774" s="47"/>
      <c r="I774" s="47"/>
      <c r="J774" s="47"/>
      <c r="K774" s="55"/>
      <c r="L774" s="47"/>
      <c r="M774" s="47"/>
      <c r="N774" s="47"/>
      <c r="O774" s="47"/>
      <c r="P774" s="26">
        <f>SUM(D774:O774)</f>
        <v>250</v>
      </c>
    </row>
    <row r="775" spans="1:16" ht="14.1" customHeight="1" thickBot="1" x14ac:dyDescent="0.25">
      <c r="C775" s="4" t="s">
        <v>5</v>
      </c>
      <c r="D775" s="26">
        <v>50618.38</v>
      </c>
      <c r="E775" s="26">
        <v>50618.38</v>
      </c>
      <c r="F775" s="26">
        <v>50618.38</v>
      </c>
      <c r="G775" s="26">
        <v>50618.38</v>
      </c>
      <c r="H775" s="26">
        <v>50618.38</v>
      </c>
      <c r="I775" s="26">
        <v>50618.38</v>
      </c>
      <c r="J775" s="26">
        <v>50618.38</v>
      </c>
      <c r="K775" s="39">
        <v>50618.38</v>
      </c>
      <c r="L775" s="26">
        <v>50618.38</v>
      </c>
      <c r="M775" s="26">
        <v>50618.38</v>
      </c>
      <c r="N775" s="26">
        <v>50618.36</v>
      </c>
      <c r="O775" s="26">
        <v>50618.36</v>
      </c>
      <c r="P775" s="26">
        <f>SUM(D775:O775)</f>
        <v>607420.52</v>
      </c>
    </row>
    <row r="776" spans="1:16" ht="14.1" customHeight="1" thickBot="1" x14ac:dyDescent="0.25">
      <c r="C776" s="6" t="s">
        <v>163</v>
      </c>
      <c r="D776" s="27">
        <f t="shared" ref="D776:P776" si="104">SUM(D773:D775)</f>
        <v>50868.38</v>
      </c>
      <c r="E776" s="27">
        <f t="shared" si="104"/>
        <v>50618.38</v>
      </c>
      <c r="F776" s="27">
        <f t="shared" si="104"/>
        <v>50618.38</v>
      </c>
      <c r="G776" s="27">
        <f t="shared" si="104"/>
        <v>50618.38</v>
      </c>
      <c r="H776" s="27">
        <f t="shared" si="104"/>
        <v>50618.38</v>
      </c>
      <c r="I776" s="27">
        <f t="shared" si="104"/>
        <v>50618.38</v>
      </c>
      <c r="J776" s="27">
        <f t="shared" si="104"/>
        <v>50618.38</v>
      </c>
      <c r="K776" s="40">
        <f t="shared" si="104"/>
        <v>50618.38</v>
      </c>
      <c r="L776" s="27">
        <f t="shared" si="104"/>
        <v>50618.38</v>
      </c>
      <c r="M776" s="27">
        <f t="shared" si="104"/>
        <v>50618.38</v>
      </c>
      <c r="N776" s="27">
        <f t="shared" si="104"/>
        <v>50618.36</v>
      </c>
      <c r="O776" s="27">
        <f t="shared" si="104"/>
        <v>50618.36</v>
      </c>
      <c r="P776" s="27">
        <f t="shared" si="104"/>
        <v>607670.52</v>
      </c>
    </row>
    <row r="777" spans="1:16" ht="14.1" customHeight="1" x14ac:dyDescent="0.2">
      <c r="C777" s="12"/>
    </row>
    <row r="778" spans="1:16" ht="14.1" customHeight="1" x14ac:dyDescent="0.25">
      <c r="A778" s="1">
        <f>A772+1</f>
        <v>55</v>
      </c>
      <c r="B778" s="21"/>
      <c r="C778" s="5" t="s">
        <v>237</v>
      </c>
    </row>
    <row r="779" spans="1:16" ht="14.1" customHeight="1" x14ac:dyDescent="0.2">
      <c r="C779" s="4" t="s">
        <v>3</v>
      </c>
      <c r="D779" s="26">
        <v>2056.67</v>
      </c>
      <c r="E779" s="26">
        <v>2056.67</v>
      </c>
      <c r="F779" s="26">
        <v>2056.67</v>
      </c>
      <c r="G779" s="26">
        <v>2056.67</v>
      </c>
      <c r="H779" s="26">
        <v>2056.67</v>
      </c>
      <c r="I779" s="26">
        <v>2056.67</v>
      </c>
      <c r="J779" s="26">
        <v>2056.67</v>
      </c>
      <c r="K779" s="39">
        <v>2056.67</v>
      </c>
      <c r="L779" s="26">
        <v>2056.67</v>
      </c>
      <c r="M779" s="26">
        <v>2056.67</v>
      </c>
      <c r="N779" s="47">
        <v>2018.75</v>
      </c>
      <c r="O779" s="47">
        <v>2018.75</v>
      </c>
      <c r="P779" s="26">
        <f>SUM(D779:O779)</f>
        <v>24604.199999999997</v>
      </c>
    </row>
    <row r="780" spans="1:16" ht="14.1" customHeight="1" x14ac:dyDescent="0.2">
      <c r="C780" s="4" t="s">
        <v>4</v>
      </c>
      <c r="D780" s="47">
        <v>250</v>
      </c>
      <c r="E780" s="47"/>
      <c r="F780" s="47"/>
      <c r="G780" s="47"/>
      <c r="H780" s="47"/>
      <c r="I780" s="47"/>
      <c r="J780" s="47"/>
      <c r="K780" s="55"/>
      <c r="L780" s="47"/>
      <c r="M780" s="47"/>
      <c r="N780" s="47"/>
      <c r="O780" s="47"/>
      <c r="P780" s="26">
        <f>SUM(D780:O780)</f>
        <v>250</v>
      </c>
    </row>
    <row r="781" spans="1:16" ht="14.1" customHeight="1" thickBot="1" x14ac:dyDescent="0.25">
      <c r="C781" s="4" t="s">
        <v>5</v>
      </c>
      <c r="D781" s="26">
        <f t="shared" ref="D781:M781" si="105">37916.67+80825</f>
        <v>118741.67</v>
      </c>
      <c r="E781" s="26">
        <f t="shared" si="105"/>
        <v>118741.67</v>
      </c>
      <c r="F781" s="26">
        <f t="shared" si="105"/>
        <v>118741.67</v>
      </c>
      <c r="G781" s="26">
        <f t="shared" si="105"/>
        <v>118741.67</v>
      </c>
      <c r="H781" s="26">
        <f t="shared" si="105"/>
        <v>118741.67</v>
      </c>
      <c r="I781" s="26">
        <f t="shared" si="105"/>
        <v>118741.67</v>
      </c>
      <c r="J781" s="26">
        <f t="shared" si="105"/>
        <v>118741.67</v>
      </c>
      <c r="K781" s="39">
        <f t="shared" si="105"/>
        <v>118741.67</v>
      </c>
      <c r="L781" s="26">
        <f t="shared" si="105"/>
        <v>118741.67</v>
      </c>
      <c r="M781" s="26">
        <f t="shared" si="105"/>
        <v>118741.67</v>
      </c>
      <c r="N781" s="26">
        <f>37916.63+80825</f>
        <v>118741.63</v>
      </c>
      <c r="O781" s="47">
        <f>39166.67+79308.33</f>
        <v>118475</v>
      </c>
      <c r="P781" s="26">
        <f>SUM(D781:O781)</f>
        <v>1424633.33</v>
      </c>
    </row>
    <row r="782" spans="1:16" ht="14.1" customHeight="1" thickBot="1" x14ac:dyDescent="0.25">
      <c r="C782" s="6" t="s">
        <v>238</v>
      </c>
      <c r="D782" s="27">
        <f t="shared" ref="D782:P782" si="106">SUM(D779:D781)</f>
        <v>121048.34</v>
      </c>
      <c r="E782" s="27">
        <f t="shared" si="106"/>
        <v>120798.34</v>
      </c>
      <c r="F782" s="27">
        <f t="shared" si="106"/>
        <v>120798.34</v>
      </c>
      <c r="G782" s="27">
        <f t="shared" si="106"/>
        <v>120798.34</v>
      </c>
      <c r="H782" s="27">
        <f t="shared" si="106"/>
        <v>120798.34</v>
      </c>
      <c r="I782" s="27">
        <f t="shared" si="106"/>
        <v>120798.34</v>
      </c>
      <c r="J782" s="27">
        <f t="shared" si="106"/>
        <v>120798.34</v>
      </c>
      <c r="K782" s="40">
        <f t="shared" si="106"/>
        <v>120798.34</v>
      </c>
      <c r="L782" s="27">
        <f t="shared" si="106"/>
        <v>120798.34</v>
      </c>
      <c r="M782" s="27">
        <f t="shared" si="106"/>
        <v>120798.34</v>
      </c>
      <c r="N782" s="27">
        <f t="shared" si="106"/>
        <v>120760.38</v>
      </c>
      <c r="O782" s="27">
        <f t="shared" si="106"/>
        <v>120493.75</v>
      </c>
      <c r="P782" s="27">
        <f t="shared" si="106"/>
        <v>1449487.53</v>
      </c>
    </row>
    <row r="783" spans="1:16" ht="14.1" customHeight="1" x14ac:dyDescent="0.2">
      <c r="C783" s="12"/>
    </row>
    <row r="784" spans="1:16" ht="14.1" customHeight="1" x14ac:dyDescent="0.25">
      <c r="A784" s="1">
        <f>A778+1</f>
        <v>56</v>
      </c>
      <c r="B784" s="21"/>
      <c r="C784" s="5" t="s">
        <v>239</v>
      </c>
    </row>
    <row r="785" spans="1:16" ht="14.1" customHeight="1" x14ac:dyDescent="0.2">
      <c r="C785" s="4" t="s">
        <v>3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39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f>SUM(D785:O785)</f>
        <v>0</v>
      </c>
    </row>
    <row r="786" spans="1:16" ht="14.1" customHeight="1" x14ac:dyDescent="0.2">
      <c r="C786" s="4" t="s">
        <v>4</v>
      </c>
      <c r="D786" s="47">
        <v>250</v>
      </c>
      <c r="E786" s="47"/>
      <c r="F786" s="47"/>
      <c r="G786" s="47"/>
      <c r="H786" s="47"/>
      <c r="I786" s="47"/>
      <c r="J786" s="47"/>
      <c r="K786" s="55"/>
      <c r="L786" s="47"/>
      <c r="M786" s="47"/>
      <c r="N786" s="47"/>
      <c r="O786" s="47"/>
      <c r="P786" s="26">
        <f>SUM(D786:O786)</f>
        <v>250</v>
      </c>
    </row>
    <row r="787" spans="1:16" ht="14.1" customHeight="1" thickBot="1" x14ac:dyDescent="0.25">
      <c r="C787" s="4" t="s">
        <v>5</v>
      </c>
      <c r="D787" s="26">
        <f>8333.33+10606.33</f>
        <v>18939.66</v>
      </c>
      <c r="E787" s="26">
        <f>8333.33+10606.33</f>
        <v>18939.66</v>
      </c>
      <c r="F787" s="26">
        <f>8333.33+10606.33</f>
        <v>18939.66</v>
      </c>
      <c r="G787" s="26">
        <f>8333.33+10606.33</f>
        <v>18939.66</v>
      </c>
      <c r="H787" s="47">
        <f>8750+10234.83</f>
        <v>18984.830000000002</v>
      </c>
      <c r="I787" s="47">
        <f t="shared" ref="I787:O787" si="107">8750+10234.83</f>
        <v>18984.830000000002</v>
      </c>
      <c r="J787" s="47">
        <f t="shared" si="107"/>
        <v>18984.830000000002</v>
      </c>
      <c r="K787" s="55">
        <f t="shared" si="107"/>
        <v>18984.830000000002</v>
      </c>
      <c r="L787" s="47">
        <f t="shared" si="107"/>
        <v>18984.830000000002</v>
      </c>
      <c r="M787" s="47">
        <f t="shared" si="107"/>
        <v>18984.830000000002</v>
      </c>
      <c r="N787" s="47">
        <f t="shared" si="107"/>
        <v>18984.830000000002</v>
      </c>
      <c r="O787" s="47">
        <f t="shared" si="107"/>
        <v>18984.830000000002</v>
      </c>
      <c r="P787" s="26">
        <f>SUM(D787:O787)</f>
        <v>227637.28000000009</v>
      </c>
    </row>
    <row r="788" spans="1:16" ht="14.1" customHeight="1" thickBot="1" x14ac:dyDescent="0.25">
      <c r="C788" s="6" t="s">
        <v>159</v>
      </c>
      <c r="D788" s="27">
        <f t="shared" ref="D788:P788" si="108">SUM(D785:D787)</f>
        <v>19189.66</v>
      </c>
      <c r="E788" s="27">
        <f t="shared" si="108"/>
        <v>18939.66</v>
      </c>
      <c r="F788" s="27">
        <f t="shared" si="108"/>
        <v>18939.66</v>
      </c>
      <c r="G788" s="27">
        <f t="shared" si="108"/>
        <v>18939.66</v>
      </c>
      <c r="H788" s="27">
        <f t="shared" si="108"/>
        <v>18984.830000000002</v>
      </c>
      <c r="I788" s="27">
        <f t="shared" si="108"/>
        <v>18984.830000000002</v>
      </c>
      <c r="J788" s="27">
        <f t="shared" si="108"/>
        <v>18984.830000000002</v>
      </c>
      <c r="K788" s="40">
        <f t="shared" si="108"/>
        <v>18984.830000000002</v>
      </c>
      <c r="L788" s="27">
        <f t="shared" si="108"/>
        <v>18984.830000000002</v>
      </c>
      <c r="M788" s="27">
        <f t="shared" si="108"/>
        <v>18984.830000000002</v>
      </c>
      <c r="N788" s="27">
        <f t="shared" si="108"/>
        <v>18984.830000000002</v>
      </c>
      <c r="O788" s="27">
        <f t="shared" si="108"/>
        <v>18984.830000000002</v>
      </c>
      <c r="P788" s="27">
        <f t="shared" si="108"/>
        <v>227887.28000000009</v>
      </c>
    </row>
    <row r="789" spans="1:16" ht="14.1" customHeight="1" x14ac:dyDescent="0.2">
      <c r="C789" s="12"/>
    </row>
    <row r="790" spans="1:16" ht="14.1" customHeight="1" x14ac:dyDescent="0.25">
      <c r="A790" s="1">
        <f>A784+1</f>
        <v>57</v>
      </c>
      <c r="B790" s="21"/>
      <c r="C790" s="5" t="s">
        <v>240</v>
      </c>
      <c r="D790" s="47"/>
      <c r="E790" s="47"/>
      <c r="F790" s="47"/>
      <c r="G790" s="47"/>
      <c r="H790" s="47"/>
      <c r="I790" s="47"/>
      <c r="J790" s="47"/>
      <c r="K790" s="55"/>
      <c r="L790" s="47"/>
      <c r="M790" s="47"/>
      <c r="N790" s="47"/>
      <c r="O790" s="47"/>
      <c r="P790" s="46"/>
    </row>
    <row r="791" spans="1:16" ht="14.1" customHeight="1" x14ac:dyDescent="0.2">
      <c r="C791" s="4" t="s">
        <v>3</v>
      </c>
      <c r="D791" s="47">
        <v>490.83</v>
      </c>
      <c r="E791" s="47">
        <v>490.83</v>
      </c>
      <c r="F791" s="47">
        <v>490.83</v>
      </c>
      <c r="G791" s="47">
        <v>490.83</v>
      </c>
      <c r="H791" s="47">
        <v>490.83</v>
      </c>
      <c r="I791" s="47">
        <v>490.83</v>
      </c>
      <c r="J791" s="47">
        <v>490.83</v>
      </c>
      <c r="K791" s="55">
        <v>490.83</v>
      </c>
      <c r="L791" s="47">
        <v>490.83</v>
      </c>
      <c r="M791" s="47">
        <v>490.83</v>
      </c>
      <c r="N791" s="47">
        <v>472.92</v>
      </c>
      <c r="O791" s="47">
        <v>472.92</v>
      </c>
      <c r="P791" s="49">
        <f>SUM(D791:O791)</f>
        <v>5854.14</v>
      </c>
    </row>
    <row r="792" spans="1:16" ht="14.1" customHeight="1" x14ac:dyDescent="0.2">
      <c r="C792" s="4" t="s">
        <v>4</v>
      </c>
      <c r="D792" s="47">
        <v>250</v>
      </c>
      <c r="E792" s="47"/>
      <c r="F792" s="47"/>
      <c r="G792" s="47"/>
      <c r="H792" s="47"/>
      <c r="I792" s="47"/>
      <c r="J792" s="47"/>
      <c r="K792" s="55"/>
      <c r="L792" s="47"/>
      <c r="M792" s="47"/>
      <c r="N792" s="47"/>
      <c r="O792" s="47"/>
      <c r="P792" s="49">
        <f>SUM(D792:O792)</f>
        <v>250</v>
      </c>
    </row>
    <row r="793" spans="1:16" ht="14.1" customHeight="1" thickBot="1" x14ac:dyDescent="0.25">
      <c r="C793" s="4" t="s">
        <v>5</v>
      </c>
      <c r="D793" s="47">
        <f>17916.67+19308.33</f>
        <v>37225</v>
      </c>
      <c r="E793" s="47">
        <f>17916.67+19308.33</f>
        <v>37225</v>
      </c>
      <c r="F793" s="47">
        <f>17916.67+19308.33</f>
        <v>37225</v>
      </c>
      <c r="G793" s="47">
        <f>17916.67+19308.33</f>
        <v>37225</v>
      </c>
      <c r="H793" s="47">
        <f>17916.63+19308.35</f>
        <v>37224.979999999996</v>
      </c>
      <c r="I793" s="47">
        <f>18333.33+18770.83</f>
        <v>37104.160000000003</v>
      </c>
      <c r="J793" s="47">
        <f t="shared" ref="J793:O793" si="109">18333.33+18770.83</f>
        <v>37104.160000000003</v>
      </c>
      <c r="K793" s="55">
        <f t="shared" si="109"/>
        <v>37104.160000000003</v>
      </c>
      <c r="L793" s="47">
        <f t="shared" si="109"/>
        <v>37104.160000000003</v>
      </c>
      <c r="M793" s="47">
        <f t="shared" si="109"/>
        <v>37104.160000000003</v>
      </c>
      <c r="N793" s="47">
        <f>18333.33+18770.85</f>
        <v>37104.18</v>
      </c>
      <c r="O793" s="47">
        <f t="shared" si="109"/>
        <v>37104.160000000003</v>
      </c>
      <c r="P793" s="49">
        <f>SUM(D793:O793)</f>
        <v>445854.12</v>
      </c>
    </row>
    <row r="794" spans="1:16" ht="14.1" customHeight="1" thickBot="1" x14ac:dyDescent="0.25">
      <c r="C794" s="6" t="s">
        <v>58</v>
      </c>
      <c r="D794" s="50">
        <f t="shared" ref="D794:P794" si="110">SUM(D791:D793)</f>
        <v>37965.83</v>
      </c>
      <c r="E794" s="50">
        <f t="shared" si="110"/>
        <v>37715.83</v>
      </c>
      <c r="F794" s="50">
        <f t="shared" si="110"/>
        <v>37715.83</v>
      </c>
      <c r="G794" s="50">
        <f t="shared" si="110"/>
        <v>37715.83</v>
      </c>
      <c r="H794" s="50">
        <f t="shared" si="110"/>
        <v>37715.81</v>
      </c>
      <c r="I794" s="50">
        <f t="shared" si="110"/>
        <v>37594.990000000005</v>
      </c>
      <c r="J794" s="50">
        <f t="shared" si="110"/>
        <v>37594.990000000005</v>
      </c>
      <c r="K794" s="52">
        <f t="shared" si="110"/>
        <v>37594.990000000005</v>
      </c>
      <c r="L794" s="50">
        <f t="shared" si="110"/>
        <v>37594.990000000005</v>
      </c>
      <c r="M794" s="50">
        <f t="shared" si="110"/>
        <v>37594.990000000005</v>
      </c>
      <c r="N794" s="50">
        <f t="shared" si="110"/>
        <v>37577.1</v>
      </c>
      <c r="O794" s="50">
        <f t="shared" si="110"/>
        <v>37577.08</v>
      </c>
      <c r="P794" s="50">
        <f t="shared" si="110"/>
        <v>451958.26</v>
      </c>
    </row>
    <row r="795" spans="1:16" ht="14.1" customHeight="1" x14ac:dyDescent="0.2">
      <c r="C795" s="12"/>
    </row>
    <row r="796" spans="1:16" ht="14.1" customHeight="1" x14ac:dyDescent="0.25">
      <c r="A796" s="1">
        <f>A790+1</f>
        <v>58</v>
      </c>
      <c r="B796" s="21"/>
      <c r="C796" s="5" t="s">
        <v>241</v>
      </c>
    </row>
    <row r="797" spans="1:16" ht="14.1" customHeight="1" x14ac:dyDescent="0.2">
      <c r="C797" s="4" t="s">
        <v>3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39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f>SUM(D797:O797)</f>
        <v>0</v>
      </c>
    </row>
    <row r="798" spans="1:16" ht="14.1" customHeight="1" x14ac:dyDescent="0.2">
      <c r="C798" s="4" t="s">
        <v>4</v>
      </c>
      <c r="D798" s="47">
        <v>250</v>
      </c>
      <c r="E798" s="47"/>
      <c r="F798" s="47"/>
      <c r="G798" s="47"/>
      <c r="H798" s="47"/>
      <c r="I798" s="47"/>
      <c r="J798" s="47"/>
      <c r="K798" s="55"/>
      <c r="L798" s="47"/>
      <c r="M798" s="47"/>
      <c r="N798" s="47"/>
      <c r="O798" s="47"/>
      <c r="P798" s="26">
        <f>SUM(D798:O798)</f>
        <v>250</v>
      </c>
    </row>
    <row r="799" spans="1:16" ht="14.1" customHeight="1" thickBot="1" x14ac:dyDescent="0.25">
      <c r="C799" s="4" t="s">
        <v>5</v>
      </c>
      <c r="D799" s="47">
        <f>115482+69289+46192.54</f>
        <v>230963.54</v>
      </c>
      <c r="E799" s="47">
        <f t="shared" ref="E799:N799" si="111">115482+69289+46192.54</f>
        <v>230963.54</v>
      </c>
      <c r="F799" s="47">
        <f t="shared" si="111"/>
        <v>230963.54</v>
      </c>
      <c r="G799" s="47">
        <f t="shared" si="111"/>
        <v>230963.54</v>
      </c>
      <c r="H799" s="47">
        <f t="shared" si="111"/>
        <v>230963.54</v>
      </c>
      <c r="I799" s="47">
        <f>115482+69289+46192.55</f>
        <v>230963.55</v>
      </c>
      <c r="J799" s="47">
        <f t="shared" si="111"/>
        <v>230963.54</v>
      </c>
      <c r="K799" s="55">
        <f t="shared" si="111"/>
        <v>230963.54</v>
      </c>
      <c r="L799" s="47">
        <f t="shared" si="111"/>
        <v>230963.54</v>
      </c>
      <c r="M799" s="47">
        <f t="shared" si="111"/>
        <v>230963.54</v>
      </c>
      <c r="N799" s="47">
        <f t="shared" si="111"/>
        <v>230963.54</v>
      </c>
      <c r="O799" s="47">
        <f>115482+69289+46192.55</f>
        <v>230963.55</v>
      </c>
      <c r="P799" s="26">
        <f>SUM(D799:O799)</f>
        <v>2771562.5</v>
      </c>
    </row>
    <row r="800" spans="1:16" ht="14.1" customHeight="1" thickBot="1" x14ac:dyDescent="0.25">
      <c r="C800" s="6" t="s">
        <v>242</v>
      </c>
      <c r="D800" s="27">
        <f t="shared" ref="D800:P800" si="112">SUM(D797:D799)</f>
        <v>231213.54</v>
      </c>
      <c r="E800" s="27">
        <f t="shared" si="112"/>
        <v>230963.54</v>
      </c>
      <c r="F800" s="27">
        <f t="shared" si="112"/>
        <v>230963.54</v>
      </c>
      <c r="G800" s="27">
        <f t="shared" si="112"/>
        <v>230963.54</v>
      </c>
      <c r="H800" s="27">
        <f t="shared" si="112"/>
        <v>230963.54</v>
      </c>
      <c r="I800" s="27">
        <f t="shared" si="112"/>
        <v>230963.55</v>
      </c>
      <c r="J800" s="27">
        <f t="shared" si="112"/>
        <v>230963.54</v>
      </c>
      <c r="K800" s="40">
        <f t="shared" si="112"/>
        <v>230963.54</v>
      </c>
      <c r="L800" s="27">
        <f t="shared" si="112"/>
        <v>230963.54</v>
      </c>
      <c r="M800" s="27">
        <f t="shared" si="112"/>
        <v>230963.54</v>
      </c>
      <c r="N800" s="27">
        <f t="shared" si="112"/>
        <v>230963.54</v>
      </c>
      <c r="O800" s="27">
        <f t="shared" si="112"/>
        <v>230963.55</v>
      </c>
      <c r="P800" s="27">
        <f t="shared" si="112"/>
        <v>2771812.5</v>
      </c>
    </row>
    <row r="801" spans="1:16" ht="14.1" customHeight="1" x14ac:dyDescent="0.2">
      <c r="C801" s="12"/>
    </row>
    <row r="802" spans="1:16" ht="14.1" customHeight="1" x14ac:dyDescent="0.25">
      <c r="A802" s="1">
        <f>A796+1</f>
        <v>59</v>
      </c>
      <c r="B802" s="21"/>
      <c r="C802" s="5" t="s">
        <v>243</v>
      </c>
    </row>
    <row r="803" spans="1:16" ht="14.1" customHeight="1" x14ac:dyDescent="0.2">
      <c r="C803" s="4" t="s">
        <v>3</v>
      </c>
      <c r="D803" s="26">
        <v>1089.17</v>
      </c>
      <c r="E803" s="26">
        <v>1089.17</v>
      </c>
      <c r="F803" s="26">
        <v>1089.17</v>
      </c>
      <c r="G803" s="26">
        <v>1089.17</v>
      </c>
      <c r="H803" s="26">
        <v>1089.17</v>
      </c>
      <c r="I803" s="26">
        <v>1089.17</v>
      </c>
      <c r="J803" s="26">
        <v>1089.17</v>
      </c>
      <c r="K803" s="39">
        <v>1089.17</v>
      </c>
      <c r="L803" s="26">
        <v>1089.17</v>
      </c>
      <c r="M803" s="26">
        <v>1089.17</v>
      </c>
      <c r="N803" s="26">
        <v>1089.17</v>
      </c>
      <c r="O803" s="26">
        <v>1069.17</v>
      </c>
      <c r="P803" s="26">
        <f>SUM(D803:O803)</f>
        <v>13050.04</v>
      </c>
    </row>
    <row r="804" spans="1:16" ht="14.1" customHeight="1" x14ac:dyDescent="0.2">
      <c r="C804" s="4" t="s">
        <v>4</v>
      </c>
      <c r="D804" s="47">
        <v>250</v>
      </c>
      <c r="E804" s="47"/>
      <c r="F804" s="47"/>
      <c r="G804" s="47"/>
      <c r="H804" s="47"/>
      <c r="I804" s="47"/>
      <c r="J804" s="47"/>
      <c r="K804" s="55"/>
      <c r="L804" s="47"/>
      <c r="M804" s="47"/>
      <c r="N804" s="47"/>
      <c r="O804" s="47"/>
      <c r="P804" s="26">
        <f>SUM(D804:O804)</f>
        <v>250</v>
      </c>
    </row>
    <row r="805" spans="1:16" ht="14.1" customHeight="1" thickBot="1" x14ac:dyDescent="0.25">
      <c r="C805" s="4" t="s">
        <v>5</v>
      </c>
      <c r="D805" s="47">
        <f>20000+44648.95</f>
        <v>64648.95</v>
      </c>
      <c r="E805" s="47">
        <f>20833.33+44048.96</f>
        <v>64882.29</v>
      </c>
      <c r="F805" s="47">
        <f t="shared" ref="F805:O805" si="113">20833.33+44048.96</f>
        <v>64882.29</v>
      </c>
      <c r="G805" s="47">
        <f t="shared" si="113"/>
        <v>64882.29</v>
      </c>
      <c r="H805" s="47">
        <f t="shared" si="113"/>
        <v>64882.29</v>
      </c>
      <c r="I805" s="47">
        <f t="shared" si="113"/>
        <v>64882.29</v>
      </c>
      <c r="J805" s="47">
        <f>20833.33+44048.95</f>
        <v>64882.28</v>
      </c>
      <c r="K805" s="55">
        <f t="shared" si="113"/>
        <v>64882.29</v>
      </c>
      <c r="L805" s="47">
        <f t="shared" si="113"/>
        <v>64882.29</v>
      </c>
      <c r="M805" s="47">
        <f t="shared" si="113"/>
        <v>64882.29</v>
      </c>
      <c r="N805" s="47">
        <f t="shared" si="113"/>
        <v>64882.29</v>
      </c>
      <c r="O805" s="47">
        <f t="shared" si="113"/>
        <v>64882.29</v>
      </c>
      <c r="P805" s="26">
        <f>SUM(D805:O805)</f>
        <v>778354.13</v>
      </c>
    </row>
    <row r="806" spans="1:16" ht="14.1" customHeight="1" thickBot="1" x14ac:dyDescent="0.25">
      <c r="C806" s="6" t="s">
        <v>244</v>
      </c>
      <c r="D806" s="27">
        <f t="shared" ref="D806:P806" si="114">SUM(D803:D805)</f>
        <v>65988.12</v>
      </c>
      <c r="E806" s="27">
        <f t="shared" si="114"/>
        <v>65971.460000000006</v>
      </c>
      <c r="F806" s="27">
        <f t="shared" si="114"/>
        <v>65971.460000000006</v>
      </c>
      <c r="G806" s="27">
        <f t="shared" si="114"/>
        <v>65971.460000000006</v>
      </c>
      <c r="H806" s="27">
        <f t="shared" si="114"/>
        <v>65971.460000000006</v>
      </c>
      <c r="I806" s="27">
        <f t="shared" si="114"/>
        <v>65971.460000000006</v>
      </c>
      <c r="J806" s="27">
        <f t="shared" si="114"/>
        <v>65971.45</v>
      </c>
      <c r="K806" s="40">
        <f t="shared" si="114"/>
        <v>65971.460000000006</v>
      </c>
      <c r="L806" s="27">
        <f t="shared" si="114"/>
        <v>65971.460000000006</v>
      </c>
      <c r="M806" s="27">
        <f t="shared" si="114"/>
        <v>65971.460000000006</v>
      </c>
      <c r="N806" s="27">
        <f t="shared" si="114"/>
        <v>65971.460000000006</v>
      </c>
      <c r="O806" s="27">
        <f t="shared" si="114"/>
        <v>65951.460000000006</v>
      </c>
      <c r="P806" s="27">
        <f t="shared" si="114"/>
        <v>791654.17</v>
      </c>
    </row>
    <row r="807" spans="1:16" ht="14.1" customHeight="1" x14ac:dyDescent="0.2">
      <c r="C807" s="12"/>
    </row>
    <row r="808" spans="1:16" ht="14.1" customHeight="1" x14ac:dyDescent="0.25">
      <c r="A808" s="1">
        <f>A802+1</f>
        <v>60</v>
      </c>
      <c r="B808" s="21"/>
      <c r="C808" s="5" t="s">
        <v>245</v>
      </c>
    </row>
    <row r="809" spans="1:16" ht="14.1" customHeight="1" x14ac:dyDescent="0.2">
      <c r="C809" s="4" t="s">
        <v>3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39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f>SUM(D809:O809)</f>
        <v>0</v>
      </c>
    </row>
    <row r="810" spans="1:16" ht="14.1" customHeight="1" x14ac:dyDescent="0.2">
      <c r="C810" s="4" t="s">
        <v>4</v>
      </c>
      <c r="D810" s="47">
        <v>250</v>
      </c>
      <c r="E810" s="47"/>
      <c r="F810" s="47"/>
      <c r="G810" s="47"/>
      <c r="H810" s="47"/>
      <c r="I810" s="47"/>
      <c r="J810" s="47"/>
      <c r="K810" s="55"/>
      <c r="L810" s="47"/>
      <c r="M810" s="47"/>
      <c r="N810" s="47"/>
      <c r="O810" s="47"/>
      <c r="P810" s="26">
        <f>SUM(D810:O810)</f>
        <v>250</v>
      </c>
    </row>
    <row r="811" spans="1:16" ht="14.1" customHeight="1" thickBot="1" x14ac:dyDescent="0.25">
      <c r="C811" s="4" t="s">
        <v>5</v>
      </c>
      <c r="D811" s="47">
        <f>17617+16710.29</f>
        <v>34327.29</v>
      </c>
      <c r="E811" s="47">
        <f>17676+16651.57</f>
        <v>34327.57</v>
      </c>
      <c r="F811" s="47">
        <f>17735+16592.65</f>
        <v>34327.65</v>
      </c>
      <c r="G811" s="47">
        <f>17794+16533.53</f>
        <v>34327.53</v>
      </c>
      <c r="H811" s="47">
        <f>17854+16474.22</f>
        <v>34328.22</v>
      </c>
      <c r="I811" s="47">
        <f>17913+16414.71</f>
        <v>34327.71</v>
      </c>
      <c r="J811" s="47">
        <f>17973+16355</f>
        <v>34328</v>
      </c>
      <c r="K811" s="55">
        <f>18033+16295.09</f>
        <v>34328.089999999997</v>
      </c>
      <c r="L811" s="47">
        <f>18093+16234.98</f>
        <v>34327.979999999996</v>
      </c>
      <c r="M811" s="47">
        <f>18154+16174.67</f>
        <v>34328.67</v>
      </c>
      <c r="N811" s="47">
        <f>18214+16114.15</f>
        <v>34328.15</v>
      </c>
      <c r="O811" s="47">
        <f>18275+16053.44</f>
        <v>34328.44</v>
      </c>
      <c r="P811" s="26">
        <f>SUM(D811:O811)</f>
        <v>411935.3</v>
      </c>
    </row>
    <row r="812" spans="1:16" ht="14.1" customHeight="1" thickBot="1" x14ac:dyDescent="0.25">
      <c r="C812" s="6" t="s">
        <v>246</v>
      </c>
      <c r="D812" s="27">
        <f t="shared" ref="D812:P812" si="115">SUM(D809:D811)</f>
        <v>34577.29</v>
      </c>
      <c r="E812" s="27">
        <f t="shared" si="115"/>
        <v>34327.57</v>
      </c>
      <c r="F812" s="27">
        <f t="shared" si="115"/>
        <v>34327.65</v>
      </c>
      <c r="G812" s="27">
        <f t="shared" si="115"/>
        <v>34327.53</v>
      </c>
      <c r="H812" s="27">
        <f t="shared" si="115"/>
        <v>34328.22</v>
      </c>
      <c r="I812" s="27">
        <f t="shared" si="115"/>
        <v>34327.71</v>
      </c>
      <c r="J812" s="27">
        <f t="shared" si="115"/>
        <v>34328</v>
      </c>
      <c r="K812" s="40">
        <f t="shared" si="115"/>
        <v>34328.089999999997</v>
      </c>
      <c r="L812" s="27">
        <f t="shared" si="115"/>
        <v>34327.979999999996</v>
      </c>
      <c r="M812" s="27">
        <f t="shared" si="115"/>
        <v>34328.67</v>
      </c>
      <c r="N812" s="27">
        <f t="shared" si="115"/>
        <v>34328.15</v>
      </c>
      <c r="O812" s="27">
        <f t="shared" si="115"/>
        <v>34328.44</v>
      </c>
      <c r="P812" s="27">
        <f t="shared" si="115"/>
        <v>412185.3</v>
      </c>
    </row>
    <row r="813" spans="1:16" ht="14.1" customHeight="1" x14ac:dyDescent="0.2">
      <c r="C813" s="12"/>
    </row>
    <row r="814" spans="1:16" ht="14.1" customHeight="1" x14ac:dyDescent="0.25">
      <c r="A814" s="1">
        <f>A808+1</f>
        <v>61</v>
      </c>
      <c r="B814" s="21"/>
      <c r="C814" s="5" t="s">
        <v>247</v>
      </c>
    </row>
    <row r="815" spans="1:16" ht="14.1" customHeight="1" x14ac:dyDescent="0.2">
      <c r="C815" s="4" t="s">
        <v>3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39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f>SUM(D815:O815)</f>
        <v>0</v>
      </c>
    </row>
    <row r="816" spans="1:16" ht="14.1" customHeight="1" x14ac:dyDescent="0.2">
      <c r="C816" s="4" t="s">
        <v>4</v>
      </c>
      <c r="D816" s="47">
        <v>250</v>
      </c>
      <c r="E816" s="47"/>
      <c r="F816" s="47"/>
      <c r="G816" s="47"/>
      <c r="H816" s="47"/>
      <c r="I816" s="47"/>
      <c r="J816" s="47"/>
      <c r="K816" s="55"/>
      <c r="L816" s="47"/>
      <c r="M816" s="47"/>
      <c r="N816" s="47"/>
      <c r="O816" s="47"/>
      <c r="P816" s="26">
        <f>SUM(D816:O816)</f>
        <v>250</v>
      </c>
    </row>
    <row r="817" spans="1:16" ht="14.1" customHeight="1" thickBot="1" x14ac:dyDescent="0.25">
      <c r="C817" s="4" t="s">
        <v>5</v>
      </c>
      <c r="D817" s="47">
        <f>15693.83+27786.16</f>
        <v>43479.99</v>
      </c>
      <c r="E817" s="47">
        <f>15741.13+27738.86</f>
        <v>43479.99</v>
      </c>
      <c r="F817" s="47">
        <f>16681.84+26798.15</f>
        <v>43479.990000000005</v>
      </c>
      <c r="G817" s="47">
        <f>15838.85+27641.14</f>
        <v>43479.99</v>
      </c>
      <c r="H817" s="47">
        <f>16776.7+26703.29</f>
        <v>43479.990000000005</v>
      </c>
      <c r="I817" s="47">
        <f>15937.15+27542.84</f>
        <v>43479.99</v>
      </c>
      <c r="J817" s="47">
        <f>15985.18+27494.81</f>
        <v>43479.990000000005</v>
      </c>
      <c r="K817" s="55">
        <f>18689.48+24790.51</f>
        <v>43479.99</v>
      </c>
      <c r="L817" s="47">
        <f>16089.69+27390.3</f>
        <v>43479.99</v>
      </c>
      <c r="M817" s="47">
        <f>17020.17+26459.82</f>
        <v>43479.99</v>
      </c>
      <c r="N817" s="47">
        <f>16189.48+27290.51</f>
        <v>43479.99</v>
      </c>
      <c r="O817" s="47">
        <f>17117.03+26362.96</f>
        <v>43479.99</v>
      </c>
      <c r="P817" s="26">
        <f>SUM(D817:O817)</f>
        <v>521759.87999999995</v>
      </c>
    </row>
    <row r="818" spans="1:16" ht="14.1" customHeight="1" thickBot="1" x14ac:dyDescent="0.25">
      <c r="C818" s="6" t="s">
        <v>138</v>
      </c>
      <c r="D818" s="27">
        <f t="shared" ref="D818:P818" si="116">SUM(D815:D817)</f>
        <v>43729.99</v>
      </c>
      <c r="E818" s="27">
        <f t="shared" si="116"/>
        <v>43479.99</v>
      </c>
      <c r="F818" s="27">
        <f t="shared" si="116"/>
        <v>43479.990000000005</v>
      </c>
      <c r="G818" s="27">
        <f t="shared" si="116"/>
        <v>43479.99</v>
      </c>
      <c r="H818" s="27">
        <f t="shared" si="116"/>
        <v>43479.990000000005</v>
      </c>
      <c r="I818" s="27">
        <f t="shared" si="116"/>
        <v>43479.99</v>
      </c>
      <c r="J818" s="27">
        <f t="shared" si="116"/>
        <v>43479.990000000005</v>
      </c>
      <c r="K818" s="40">
        <f t="shared" si="116"/>
        <v>43479.99</v>
      </c>
      <c r="L818" s="27">
        <f t="shared" si="116"/>
        <v>43479.99</v>
      </c>
      <c r="M818" s="27">
        <f t="shared" si="116"/>
        <v>43479.99</v>
      </c>
      <c r="N818" s="27">
        <f t="shared" si="116"/>
        <v>43479.99</v>
      </c>
      <c r="O818" s="27">
        <f t="shared" si="116"/>
        <v>43479.99</v>
      </c>
      <c r="P818" s="27">
        <f t="shared" si="116"/>
        <v>522009.87999999995</v>
      </c>
    </row>
    <row r="819" spans="1:16" ht="14.1" customHeight="1" x14ac:dyDescent="0.2">
      <c r="C819" s="12"/>
    </row>
    <row r="820" spans="1:16" ht="14.1" customHeight="1" x14ac:dyDescent="0.25">
      <c r="A820" s="1">
        <f>A814+1</f>
        <v>62</v>
      </c>
      <c r="B820" s="21"/>
      <c r="C820" s="5" t="s">
        <v>248</v>
      </c>
    </row>
    <row r="821" spans="1:16" ht="14.1" customHeight="1" x14ac:dyDescent="0.2">
      <c r="C821" s="4" t="s">
        <v>3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39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f>SUM(D821:O821)</f>
        <v>0</v>
      </c>
    </row>
    <row r="822" spans="1:16" ht="14.1" customHeight="1" x14ac:dyDescent="0.2">
      <c r="C822" s="4" t="s">
        <v>4</v>
      </c>
      <c r="D822" s="47">
        <v>250</v>
      </c>
      <c r="E822" s="47"/>
      <c r="F822" s="47"/>
      <c r="G822" s="47"/>
      <c r="H822" s="47"/>
      <c r="I822" s="47"/>
      <c r="J822" s="47"/>
      <c r="K822" s="55"/>
      <c r="L822" s="47"/>
      <c r="M822" s="47"/>
      <c r="N822" s="47"/>
      <c r="O822" s="47"/>
      <c r="P822" s="26">
        <f>SUM(D822:O822)</f>
        <v>250</v>
      </c>
    </row>
    <row r="823" spans="1:16" ht="14.1" customHeight="1" thickBot="1" x14ac:dyDescent="0.25">
      <c r="C823" s="4" t="s">
        <v>5</v>
      </c>
      <c r="D823" s="26">
        <v>39389.5</v>
      </c>
      <c r="E823" s="26">
        <v>39389.5</v>
      </c>
      <c r="F823" s="26">
        <v>39389.5</v>
      </c>
      <c r="G823" s="26">
        <v>39389.5</v>
      </c>
      <c r="H823" s="26">
        <v>39389.519999999997</v>
      </c>
      <c r="I823" s="47">
        <v>39337.54</v>
      </c>
      <c r="J823" s="47">
        <v>39337.54</v>
      </c>
      <c r="K823" s="55">
        <v>39337.54</v>
      </c>
      <c r="L823" s="47">
        <v>39337.54</v>
      </c>
      <c r="M823" s="47">
        <v>39337.54</v>
      </c>
      <c r="N823" s="47">
        <v>39337.550000000003</v>
      </c>
      <c r="O823" s="47">
        <v>39337.54</v>
      </c>
      <c r="P823" s="26">
        <f>SUM(D823:O823)</f>
        <v>472310.30999999988</v>
      </c>
    </row>
    <row r="824" spans="1:16" ht="14.1" customHeight="1" thickBot="1" x14ac:dyDescent="0.25">
      <c r="C824" s="6" t="s">
        <v>147</v>
      </c>
      <c r="D824" s="27">
        <f t="shared" ref="D824:P824" si="117">SUM(D821:D823)</f>
        <v>39639.5</v>
      </c>
      <c r="E824" s="27">
        <f t="shared" si="117"/>
        <v>39389.5</v>
      </c>
      <c r="F824" s="27">
        <f t="shared" si="117"/>
        <v>39389.5</v>
      </c>
      <c r="G824" s="27">
        <f t="shared" si="117"/>
        <v>39389.5</v>
      </c>
      <c r="H824" s="27">
        <f t="shared" si="117"/>
        <v>39389.519999999997</v>
      </c>
      <c r="I824" s="27">
        <f t="shared" si="117"/>
        <v>39337.54</v>
      </c>
      <c r="J824" s="27">
        <f t="shared" si="117"/>
        <v>39337.54</v>
      </c>
      <c r="K824" s="40">
        <f t="shared" si="117"/>
        <v>39337.54</v>
      </c>
      <c r="L824" s="27">
        <f t="shared" si="117"/>
        <v>39337.54</v>
      </c>
      <c r="M824" s="27">
        <f t="shared" si="117"/>
        <v>39337.54</v>
      </c>
      <c r="N824" s="27">
        <f t="shared" si="117"/>
        <v>39337.550000000003</v>
      </c>
      <c r="O824" s="27">
        <f t="shared" si="117"/>
        <v>39337.54</v>
      </c>
      <c r="P824" s="27">
        <f t="shared" si="117"/>
        <v>472560.30999999988</v>
      </c>
    </row>
    <row r="825" spans="1:16" ht="14.1" customHeight="1" x14ac:dyDescent="0.2">
      <c r="C825" s="12"/>
    </row>
    <row r="826" spans="1:16" ht="14.1" customHeight="1" x14ac:dyDescent="0.25">
      <c r="A826" s="1">
        <f>A820+1</f>
        <v>63</v>
      </c>
      <c r="B826" s="21"/>
      <c r="C826" s="5" t="s">
        <v>249</v>
      </c>
    </row>
    <row r="827" spans="1:16" ht="14.1" customHeight="1" x14ac:dyDescent="0.2">
      <c r="C827" s="4" t="s">
        <v>3</v>
      </c>
      <c r="D827" s="47">
        <v>1762.08</v>
      </c>
      <c r="E827" s="47">
        <v>1762.08</v>
      </c>
      <c r="F827" s="47">
        <v>1762.08</v>
      </c>
      <c r="G827" s="47">
        <v>1762.08</v>
      </c>
      <c r="H827" s="47">
        <v>1762.08</v>
      </c>
      <c r="I827" s="47">
        <v>1762.08</v>
      </c>
      <c r="J827" s="47">
        <v>1762.08</v>
      </c>
      <c r="K827" s="55">
        <v>1762.08</v>
      </c>
      <c r="L827" s="47">
        <v>1762.08</v>
      </c>
      <c r="M827" s="47">
        <v>1762.08</v>
      </c>
      <c r="N827" s="47">
        <v>1762.08</v>
      </c>
      <c r="O827" s="47">
        <v>1762.08</v>
      </c>
      <c r="P827" s="26">
        <f>SUM(D827:O827)</f>
        <v>21144.959999999999</v>
      </c>
    </row>
    <row r="828" spans="1:16" ht="14.1" customHeight="1" x14ac:dyDescent="0.2">
      <c r="C828" s="4" t="s">
        <v>4</v>
      </c>
      <c r="D828" s="47">
        <v>250</v>
      </c>
      <c r="E828" s="47"/>
      <c r="F828" s="47"/>
      <c r="G828" s="47"/>
      <c r="H828" s="47"/>
      <c r="I828" s="47"/>
      <c r="J828" s="47"/>
      <c r="K828" s="55"/>
      <c r="L828" s="47"/>
      <c r="M828" s="47"/>
      <c r="N828" s="47"/>
      <c r="O828" s="47"/>
      <c r="P828" s="26">
        <f>SUM(D828:O828)</f>
        <v>250</v>
      </c>
    </row>
    <row r="829" spans="1:16" ht="14.1" customHeight="1" thickBot="1" x14ac:dyDescent="0.25">
      <c r="C829" s="4" t="s">
        <v>5</v>
      </c>
      <c r="D829" s="26">
        <f t="shared" ref="D829:M829" si="118">33750+69361.46</f>
        <v>103111.46</v>
      </c>
      <c r="E829" s="26">
        <f t="shared" si="118"/>
        <v>103111.46</v>
      </c>
      <c r="F829" s="26">
        <f t="shared" si="118"/>
        <v>103111.46</v>
      </c>
      <c r="G829" s="26">
        <f t="shared" si="118"/>
        <v>103111.46</v>
      </c>
      <c r="H829" s="26">
        <f>33750+69361.45</f>
        <v>103111.45</v>
      </c>
      <c r="I829" s="26">
        <f t="shared" si="118"/>
        <v>103111.46</v>
      </c>
      <c r="J829" s="26">
        <f t="shared" si="118"/>
        <v>103111.46</v>
      </c>
      <c r="K829" s="39">
        <f t="shared" si="118"/>
        <v>103111.46</v>
      </c>
      <c r="L829" s="26">
        <f t="shared" si="118"/>
        <v>103111.46</v>
      </c>
      <c r="M829" s="26">
        <f t="shared" si="118"/>
        <v>103111.46</v>
      </c>
      <c r="N829" s="26">
        <f>33750+69361.45</f>
        <v>103111.45</v>
      </c>
      <c r="O829" s="47">
        <f>34583.33+68348.96</f>
        <v>102932.29000000001</v>
      </c>
      <c r="P829" s="26">
        <f>SUM(D829:O829)</f>
        <v>1237158.3299999998</v>
      </c>
    </row>
    <row r="830" spans="1:16" ht="14.1" customHeight="1" thickBot="1" x14ac:dyDescent="0.25">
      <c r="C830" s="6" t="s">
        <v>63</v>
      </c>
      <c r="D830" s="27">
        <f t="shared" ref="D830:P830" si="119">SUM(D827:D829)</f>
        <v>105123.54000000001</v>
      </c>
      <c r="E830" s="27">
        <f t="shared" si="119"/>
        <v>104873.54000000001</v>
      </c>
      <c r="F830" s="27">
        <f t="shared" si="119"/>
        <v>104873.54000000001</v>
      </c>
      <c r="G830" s="27">
        <f t="shared" si="119"/>
        <v>104873.54000000001</v>
      </c>
      <c r="H830" s="27">
        <f t="shared" si="119"/>
        <v>104873.53</v>
      </c>
      <c r="I830" s="27">
        <f t="shared" si="119"/>
        <v>104873.54000000001</v>
      </c>
      <c r="J830" s="27">
        <f t="shared" si="119"/>
        <v>104873.54000000001</v>
      </c>
      <c r="K830" s="40">
        <f t="shared" si="119"/>
        <v>104873.54000000001</v>
      </c>
      <c r="L830" s="27">
        <f t="shared" si="119"/>
        <v>104873.54000000001</v>
      </c>
      <c r="M830" s="27">
        <f t="shared" si="119"/>
        <v>104873.54000000001</v>
      </c>
      <c r="N830" s="27">
        <f t="shared" si="119"/>
        <v>104873.53</v>
      </c>
      <c r="O830" s="27">
        <f t="shared" si="119"/>
        <v>104694.37000000001</v>
      </c>
      <c r="P830" s="27">
        <f t="shared" si="119"/>
        <v>1258553.2899999998</v>
      </c>
    </row>
    <row r="831" spans="1:16" ht="14.1" customHeight="1" x14ac:dyDescent="0.2">
      <c r="C831" s="12"/>
    </row>
    <row r="832" spans="1:16" ht="14.1" customHeight="1" x14ac:dyDescent="0.25">
      <c r="A832" s="1">
        <f>A826+1</f>
        <v>64</v>
      </c>
      <c r="B832" s="21"/>
      <c r="C832" s="5" t="s">
        <v>253</v>
      </c>
    </row>
    <row r="833" spans="1:16" ht="14.1" customHeight="1" x14ac:dyDescent="0.2">
      <c r="C833" s="4" t="s">
        <v>3</v>
      </c>
      <c r="D833" s="26">
        <v>458.75</v>
      </c>
      <c r="E833" s="47">
        <v>438.75</v>
      </c>
      <c r="F833" s="47">
        <v>438.75</v>
      </c>
      <c r="G833" s="47">
        <v>438.75</v>
      </c>
      <c r="H833" s="47">
        <v>438.75</v>
      </c>
      <c r="I833" s="47">
        <v>438.75</v>
      </c>
      <c r="J833" s="47">
        <v>438.75</v>
      </c>
      <c r="K833" s="55">
        <v>438.75</v>
      </c>
      <c r="L833" s="47">
        <v>438.75</v>
      </c>
      <c r="M833" s="47">
        <v>438.75</v>
      </c>
      <c r="N833" s="47">
        <v>438.75</v>
      </c>
      <c r="O833" s="47">
        <v>438.75</v>
      </c>
      <c r="P833" s="26">
        <f>SUM(D833:O833)</f>
        <v>5285</v>
      </c>
    </row>
    <row r="834" spans="1:16" ht="14.1" customHeight="1" x14ac:dyDescent="0.2">
      <c r="C834" s="4" t="s">
        <v>4</v>
      </c>
      <c r="D834" s="47">
        <v>250</v>
      </c>
      <c r="E834" s="47"/>
      <c r="F834" s="47"/>
      <c r="G834" s="47"/>
      <c r="H834" s="47"/>
      <c r="I834" s="47"/>
      <c r="J834" s="47"/>
      <c r="K834" s="55"/>
      <c r="L834" s="47"/>
      <c r="M834" s="47"/>
      <c r="N834" s="47"/>
      <c r="O834" s="47"/>
      <c r="P834" s="26">
        <f>SUM(D834:O834)</f>
        <v>250</v>
      </c>
    </row>
    <row r="835" spans="1:16" ht="14.1" customHeight="1" thickBot="1" x14ac:dyDescent="0.25">
      <c r="C835" s="4" t="s">
        <v>5</v>
      </c>
      <c r="D835" s="26">
        <f>20416.67+15558.33</f>
        <v>35975</v>
      </c>
      <c r="E835" s="26">
        <f>20416.67+15558.33</f>
        <v>35975</v>
      </c>
      <c r="F835" s="26">
        <f>20416.67+15558.33</f>
        <v>35975</v>
      </c>
      <c r="G835" s="26">
        <f>20416.67+15558.33</f>
        <v>35975</v>
      </c>
      <c r="H835" s="26">
        <f>20416.63+15558.35</f>
        <v>35974.980000000003</v>
      </c>
      <c r="I835" s="47">
        <f>20833.33+15150</f>
        <v>35983.33</v>
      </c>
      <c r="J835" s="47">
        <f t="shared" ref="J835:O835" si="120">20833.33+15150</f>
        <v>35983.33</v>
      </c>
      <c r="K835" s="55">
        <f t="shared" si="120"/>
        <v>35983.33</v>
      </c>
      <c r="L835" s="47">
        <f t="shared" si="120"/>
        <v>35983.33</v>
      </c>
      <c r="M835" s="47">
        <f t="shared" si="120"/>
        <v>35983.33</v>
      </c>
      <c r="N835" s="47">
        <f t="shared" si="120"/>
        <v>35983.33</v>
      </c>
      <c r="O835" s="47">
        <f t="shared" si="120"/>
        <v>35983.33</v>
      </c>
      <c r="P835" s="26">
        <f>SUM(D835:O835)</f>
        <v>431758.2900000001</v>
      </c>
    </row>
    <row r="836" spans="1:16" ht="14.1" customHeight="1" thickBot="1" x14ac:dyDescent="0.25">
      <c r="C836" s="6" t="s">
        <v>16</v>
      </c>
      <c r="D836" s="27">
        <f t="shared" ref="D836:P836" si="121">SUM(D833:D835)</f>
        <v>36683.75</v>
      </c>
      <c r="E836" s="27">
        <f t="shared" si="121"/>
        <v>36413.75</v>
      </c>
      <c r="F836" s="27">
        <f t="shared" si="121"/>
        <v>36413.75</v>
      </c>
      <c r="G836" s="27">
        <f t="shared" si="121"/>
        <v>36413.75</v>
      </c>
      <c r="H836" s="27">
        <f t="shared" si="121"/>
        <v>36413.730000000003</v>
      </c>
      <c r="I836" s="27">
        <f t="shared" si="121"/>
        <v>36422.080000000002</v>
      </c>
      <c r="J836" s="27">
        <f t="shared" si="121"/>
        <v>36422.080000000002</v>
      </c>
      <c r="K836" s="40">
        <f t="shared" si="121"/>
        <v>36422.080000000002</v>
      </c>
      <c r="L836" s="27">
        <f t="shared" si="121"/>
        <v>36422.080000000002</v>
      </c>
      <c r="M836" s="27">
        <f t="shared" si="121"/>
        <v>36422.080000000002</v>
      </c>
      <c r="N836" s="27">
        <f t="shared" si="121"/>
        <v>36422.080000000002</v>
      </c>
      <c r="O836" s="27">
        <f t="shared" si="121"/>
        <v>36422.080000000002</v>
      </c>
      <c r="P836" s="27">
        <f t="shared" si="121"/>
        <v>437293.2900000001</v>
      </c>
    </row>
    <row r="837" spans="1:16" ht="14.1" customHeight="1" x14ac:dyDescent="0.2">
      <c r="C837" s="12"/>
    </row>
    <row r="838" spans="1:16" ht="14.1" customHeight="1" x14ac:dyDescent="0.25">
      <c r="A838" s="1">
        <f>A832+1</f>
        <v>65</v>
      </c>
      <c r="B838" s="21"/>
      <c r="C838" s="5" t="s">
        <v>254</v>
      </c>
    </row>
    <row r="839" spans="1:16" ht="14.1" customHeight="1" x14ac:dyDescent="0.2">
      <c r="C839" s="4" t="s">
        <v>3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39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f>SUM(D839:O839)</f>
        <v>0</v>
      </c>
    </row>
    <row r="840" spans="1:16" ht="14.1" customHeight="1" x14ac:dyDescent="0.2">
      <c r="C840" s="4" t="s">
        <v>4</v>
      </c>
      <c r="D840" s="47">
        <v>250</v>
      </c>
      <c r="E840" s="47"/>
      <c r="F840" s="47"/>
      <c r="G840" s="47"/>
      <c r="H840" s="47"/>
      <c r="I840" s="47"/>
      <c r="J840" s="47"/>
      <c r="K840" s="55"/>
      <c r="L840" s="47"/>
      <c r="M840" s="47"/>
      <c r="N840" s="47"/>
      <c r="O840" s="47"/>
      <c r="P840" s="26">
        <f>SUM(D840:O840)</f>
        <v>250</v>
      </c>
    </row>
    <row r="841" spans="1:16" ht="14.1" customHeight="1" thickBot="1" x14ac:dyDescent="0.25">
      <c r="C841" s="4" t="s">
        <v>5</v>
      </c>
      <c r="D841" s="47">
        <f>17500+83317.71</f>
        <v>100817.71</v>
      </c>
      <c r="E841" s="47">
        <f t="shared" ref="E841:N841" si="122">17500+83317.71</f>
        <v>100817.71</v>
      </c>
      <c r="F841" s="47">
        <f t="shared" si="122"/>
        <v>100817.71</v>
      </c>
      <c r="G841" s="47">
        <f t="shared" si="122"/>
        <v>100817.71</v>
      </c>
      <c r="H841" s="47">
        <f t="shared" si="122"/>
        <v>100817.71</v>
      </c>
      <c r="I841" s="47">
        <f>17500+83317.7</f>
        <v>100817.7</v>
      </c>
      <c r="J841" s="47">
        <f t="shared" si="122"/>
        <v>100817.71</v>
      </c>
      <c r="K841" s="55">
        <f t="shared" si="122"/>
        <v>100817.71</v>
      </c>
      <c r="L841" s="47">
        <f t="shared" si="122"/>
        <v>100817.71</v>
      </c>
      <c r="M841" s="47">
        <f t="shared" si="122"/>
        <v>100817.71</v>
      </c>
      <c r="N841" s="47">
        <f t="shared" si="122"/>
        <v>100817.71</v>
      </c>
      <c r="O841" s="47">
        <f>17500+83317.7</f>
        <v>100817.7</v>
      </c>
      <c r="P841" s="26">
        <f>SUM(D841:O841)</f>
        <v>1209812.4999999998</v>
      </c>
    </row>
    <row r="842" spans="1:16" ht="14.1" customHeight="1" thickBot="1" x14ac:dyDescent="0.25">
      <c r="C842" s="6" t="s">
        <v>255</v>
      </c>
      <c r="D842" s="27">
        <f t="shared" ref="D842:P842" si="123">SUM(D839:D841)</f>
        <v>101067.71</v>
      </c>
      <c r="E842" s="27">
        <f t="shared" si="123"/>
        <v>100817.71</v>
      </c>
      <c r="F842" s="27">
        <f t="shared" si="123"/>
        <v>100817.71</v>
      </c>
      <c r="G842" s="27">
        <f t="shared" si="123"/>
        <v>100817.71</v>
      </c>
      <c r="H842" s="27">
        <f t="shared" si="123"/>
        <v>100817.71</v>
      </c>
      <c r="I842" s="27">
        <f t="shared" si="123"/>
        <v>100817.7</v>
      </c>
      <c r="J842" s="27">
        <f t="shared" si="123"/>
        <v>100817.71</v>
      </c>
      <c r="K842" s="40">
        <f t="shared" si="123"/>
        <v>100817.71</v>
      </c>
      <c r="L842" s="27">
        <f t="shared" si="123"/>
        <v>100817.71</v>
      </c>
      <c r="M842" s="27">
        <f t="shared" si="123"/>
        <v>100817.71</v>
      </c>
      <c r="N842" s="27">
        <f t="shared" si="123"/>
        <v>100817.71</v>
      </c>
      <c r="O842" s="27">
        <f t="shared" si="123"/>
        <v>100817.7</v>
      </c>
      <c r="P842" s="27">
        <f t="shared" si="123"/>
        <v>1210062.4999999998</v>
      </c>
    </row>
    <row r="843" spans="1:16" ht="14.1" customHeight="1" x14ac:dyDescent="0.2">
      <c r="C843" s="12"/>
    </row>
    <row r="844" spans="1:16" ht="14.1" customHeight="1" x14ac:dyDescent="0.25">
      <c r="A844" s="1">
        <f>A838+1</f>
        <v>66</v>
      </c>
      <c r="B844" s="21"/>
      <c r="C844" s="5" t="s">
        <v>256</v>
      </c>
    </row>
    <row r="845" spans="1:16" ht="14.1" customHeight="1" x14ac:dyDescent="0.2">
      <c r="C845" s="4" t="s">
        <v>3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39">
        <v>0</v>
      </c>
      <c r="L845" s="26">
        <v>0</v>
      </c>
      <c r="M845" s="26">
        <v>0</v>
      </c>
      <c r="N845" s="26">
        <v>0</v>
      </c>
      <c r="O845" s="26">
        <v>0</v>
      </c>
      <c r="P845" s="49">
        <f>SUM(D845:O845)</f>
        <v>0</v>
      </c>
    </row>
    <row r="846" spans="1:16" ht="14.1" customHeight="1" x14ac:dyDescent="0.2">
      <c r="C846" s="4" t="s">
        <v>4</v>
      </c>
      <c r="D846" s="47">
        <v>250</v>
      </c>
      <c r="E846" s="47"/>
      <c r="F846" s="47"/>
      <c r="G846" s="47"/>
      <c r="H846" s="47"/>
      <c r="I846" s="47"/>
      <c r="J846" s="47"/>
      <c r="K846" s="55"/>
      <c r="L846" s="47"/>
      <c r="M846" s="47"/>
      <c r="N846" s="47"/>
      <c r="O846" s="47"/>
      <c r="P846" s="49">
        <f>SUM(D846:O846)</f>
        <v>250</v>
      </c>
    </row>
    <row r="847" spans="1:16" ht="14.1" customHeight="1" thickBot="1" x14ac:dyDescent="0.25">
      <c r="C847" s="4" t="s">
        <v>5</v>
      </c>
      <c r="D847" s="26">
        <v>46524.38</v>
      </c>
      <c r="E847" s="26">
        <v>46524.38</v>
      </c>
      <c r="F847" s="26">
        <v>46524.38</v>
      </c>
      <c r="G847" s="26">
        <v>46524.38</v>
      </c>
      <c r="H847" s="26">
        <v>46524.35</v>
      </c>
      <c r="I847" s="47">
        <f>45416.67+93048.75</f>
        <v>138465.41999999998</v>
      </c>
      <c r="J847" s="47">
        <f t="shared" ref="J847:O847" si="124">45416.67+93048.75</f>
        <v>138465.41999999998</v>
      </c>
      <c r="K847" s="55">
        <f t="shared" si="124"/>
        <v>138465.41999999998</v>
      </c>
      <c r="L847" s="47">
        <f t="shared" si="124"/>
        <v>138465.41999999998</v>
      </c>
      <c r="M847" s="47">
        <f t="shared" si="124"/>
        <v>138465.41999999998</v>
      </c>
      <c r="N847" s="47">
        <f t="shared" si="124"/>
        <v>138465.41999999998</v>
      </c>
      <c r="O847" s="47">
        <f t="shared" si="124"/>
        <v>138465.41999999998</v>
      </c>
      <c r="P847" s="49">
        <f>SUM(D847:O847)</f>
        <v>1201879.8099999996</v>
      </c>
    </row>
    <row r="848" spans="1:16" ht="14.1" customHeight="1" thickBot="1" x14ac:dyDescent="0.25">
      <c r="C848" s="6" t="s">
        <v>116</v>
      </c>
      <c r="D848" s="50">
        <f t="shared" ref="D848:P848" si="125">SUM(D845:D847)</f>
        <v>46774.38</v>
      </c>
      <c r="E848" s="50">
        <f t="shared" si="125"/>
        <v>46524.38</v>
      </c>
      <c r="F848" s="50">
        <f t="shared" si="125"/>
        <v>46524.38</v>
      </c>
      <c r="G848" s="50">
        <f t="shared" si="125"/>
        <v>46524.38</v>
      </c>
      <c r="H848" s="50">
        <f t="shared" si="125"/>
        <v>46524.35</v>
      </c>
      <c r="I848" s="50">
        <f t="shared" si="125"/>
        <v>138465.41999999998</v>
      </c>
      <c r="J848" s="50">
        <f t="shared" si="125"/>
        <v>138465.41999999998</v>
      </c>
      <c r="K848" s="52">
        <f t="shared" si="125"/>
        <v>138465.41999999998</v>
      </c>
      <c r="L848" s="50">
        <f t="shared" si="125"/>
        <v>138465.41999999998</v>
      </c>
      <c r="M848" s="50">
        <f t="shared" si="125"/>
        <v>138465.41999999998</v>
      </c>
      <c r="N848" s="50">
        <f t="shared" si="125"/>
        <v>138465.41999999998</v>
      </c>
      <c r="O848" s="50">
        <f t="shared" si="125"/>
        <v>138465.41999999998</v>
      </c>
      <c r="P848" s="50">
        <f t="shared" si="125"/>
        <v>1202129.8099999996</v>
      </c>
    </row>
    <row r="849" spans="1:16" ht="14.1" customHeight="1" x14ac:dyDescent="0.2">
      <c r="C849" s="12"/>
    </row>
    <row r="850" spans="1:16" ht="14.1" customHeight="1" x14ac:dyDescent="0.25">
      <c r="A850" s="1">
        <f>A844+1</f>
        <v>67</v>
      </c>
      <c r="B850" s="21"/>
      <c r="C850" s="5" t="s">
        <v>258</v>
      </c>
    </row>
    <row r="851" spans="1:16" ht="14.1" customHeight="1" x14ac:dyDescent="0.2">
      <c r="C851" s="4" t="s">
        <v>3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39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f>SUM(D851:O851)</f>
        <v>0</v>
      </c>
    </row>
    <row r="852" spans="1:16" ht="14.1" customHeight="1" x14ac:dyDescent="0.2">
      <c r="C852" s="4" t="s">
        <v>4</v>
      </c>
      <c r="D852" s="47">
        <v>250</v>
      </c>
      <c r="E852" s="47"/>
      <c r="F852" s="47"/>
      <c r="G852" s="47"/>
      <c r="H852" s="47"/>
      <c r="I852" s="47"/>
      <c r="J852" s="47"/>
      <c r="K852" s="55"/>
      <c r="L852" s="47"/>
      <c r="M852" s="47"/>
      <c r="N852" s="47"/>
      <c r="O852" s="47"/>
      <c r="P852" s="26">
        <f>SUM(D852:O852)</f>
        <v>250</v>
      </c>
    </row>
    <row r="853" spans="1:16" ht="14.1" customHeight="1" thickBot="1" x14ac:dyDescent="0.25">
      <c r="C853" s="4" t="s">
        <v>5</v>
      </c>
      <c r="D853" s="26">
        <v>25817.77</v>
      </c>
      <c r="E853" s="26">
        <v>25817.77</v>
      </c>
      <c r="F853" s="26">
        <v>25817.77</v>
      </c>
      <c r="G853" s="26">
        <v>25817.77</v>
      </c>
      <c r="H853" s="26">
        <v>25817.77</v>
      </c>
      <c r="I853" s="26">
        <v>25817.77</v>
      </c>
      <c r="J853" s="26">
        <v>25817.77</v>
      </c>
      <c r="K853" s="39">
        <v>25817.77</v>
      </c>
      <c r="L853" s="26">
        <v>25817.77</v>
      </c>
      <c r="M853" s="26">
        <v>25817.77</v>
      </c>
      <c r="N853" s="26">
        <v>25817.77</v>
      </c>
      <c r="O853" s="26">
        <v>25817.77</v>
      </c>
      <c r="P853" s="26">
        <f>SUM(D853:O853)</f>
        <v>309813.24</v>
      </c>
    </row>
    <row r="854" spans="1:16" ht="14.1" customHeight="1" thickBot="1" x14ac:dyDescent="0.25">
      <c r="C854" s="6" t="s">
        <v>257</v>
      </c>
      <c r="D854" s="27">
        <f t="shared" ref="D854:P854" si="126">SUM(D851:D853)</f>
        <v>26067.77</v>
      </c>
      <c r="E854" s="27">
        <f t="shared" si="126"/>
        <v>25817.77</v>
      </c>
      <c r="F854" s="27">
        <f t="shared" si="126"/>
        <v>25817.77</v>
      </c>
      <c r="G854" s="27">
        <f t="shared" si="126"/>
        <v>25817.77</v>
      </c>
      <c r="H854" s="27">
        <f t="shared" si="126"/>
        <v>25817.77</v>
      </c>
      <c r="I854" s="27">
        <f t="shared" si="126"/>
        <v>25817.77</v>
      </c>
      <c r="J854" s="27">
        <f t="shared" si="126"/>
        <v>25817.77</v>
      </c>
      <c r="K854" s="40">
        <f t="shared" si="126"/>
        <v>25817.77</v>
      </c>
      <c r="L854" s="27">
        <f t="shared" si="126"/>
        <v>25817.77</v>
      </c>
      <c r="M854" s="27">
        <f t="shared" si="126"/>
        <v>25817.77</v>
      </c>
      <c r="N854" s="27">
        <f t="shared" si="126"/>
        <v>25817.77</v>
      </c>
      <c r="O854" s="27">
        <f t="shared" si="126"/>
        <v>25817.77</v>
      </c>
      <c r="P854" s="27">
        <f t="shared" si="126"/>
        <v>310063.24</v>
      </c>
    </row>
    <row r="855" spans="1:16" ht="14.1" customHeight="1" x14ac:dyDescent="0.2">
      <c r="C855" s="12"/>
    </row>
    <row r="856" spans="1:16" ht="14.1" customHeight="1" x14ac:dyDescent="0.25">
      <c r="A856" s="1">
        <f>A850+1</f>
        <v>68</v>
      </c>
      <c r="B856" s="21"/>
      <c r="C856" s="5" t="s">
        <v>259</v>
      </c>
    </row>
    <row r="857" spans="1:16" ht="14.1" customHeight="1" x14ac:dyDescent="0.2">
      <c r="C857" s="4" t="s">
        <v>3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39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f>SUM(D857:O857)</f>
        <v>0</v>
      </c>
    </row>
    <row r="858" spans="1:16" ht="14.1" customHeight="1" x14ac:dyDescent="0.2">
      <c r="C858" s="4" t="s">
        <v>4</v>
      </c>
      <c r="D858" s="47">
        <v>250</v>
      </c>
      <c r="E858" s="47"/>
      <c r="F858" s="47"/>
      <c r="G858" s="47"/>
      <c r="H858" s="47"/>
      <c r="I858" s="47"/>
      <c r="J858" s="47"/>
      <c r="K858" s="55"/>
      <c r="L858" s="47"/>
      <c r="M858" s="47"/>
      <c r="N858" s="47"/>
      <c r="O858" s="47"/>
      <c r="P858" s="26">
        <f>SUM(D858:O858)</f>
        <v>250</v>
      </c>
    </row>
    <row r="859" spans="1:16" ht="14.1" customHeight="1" thickBot="1" x14ac:dyDescent="0.25">
      <c r="C859" s="4" t="s">
        <v>5</v>
      </c>
      <c r="D859" s="26">
        <v>72894.789999999994</v>
      </c>
      <c r="E859" s="26">
        <v>72894.789999999994</v>
      </c>
      <c r="F859" s="47">
        <v>82478.13</v>
      </c>
      <c r="G859" s="47">
        <v>82478.13</v>
      </c>
      <c r="H859" s="47">
        <v>82478.13</v>
      </c>
      <c r="I859" s="47">
        <v>82478.13</v>
      </c>
      <c r="J859" s="47">
        <v>82478.13</v>
      </c>
      <c r="K859" s="55">
        <v>82478.13</v>
      </c>
      <c r="L859" s="47">
        <v>82478.13</v>
      </c>
      <c r="M859" s="47">
        <v>82478.13</v>
      </c>
      <c r="N859" s="47">
        <v>82478.13</v>
      </c>
      <c r="O859" s="47">
        <v>82478.13</v>
      </c>
      <c r="P859" s="26">
        <f>SUM(D859:O859)</f>
        <v>970570.88</v>
      </c>
    </row>
    <row r="860" spans="1:16" ht="14.1" customHeight="1" thickBot="1" x14ac:dyDescent="0.25">
      <c r="C860" s="6" t="s">
        <v>89</v>
      </c>
      <c r="D860" s="27">
        <f t="shared" ref="D860:P860" si="127">SUM(D857:D859)</f>
        <v>73144.789999999994</v>
      </c>
      <c r="E860" s="27">
        <f t="shared" si="127"/>
        <v>72894.789999999994</v>
      </c>
      <c r="F860" s="27">
        <f t="shared" si="127"/>
        <v>82478.13</v>
      </c>
      <c r="G860" s="27">
        <f t="shared" si="127"/>
        <v>82478.13</v>
      </c>
      <c r="H860" s="27">
        <f t="shared" si="127"/>
        <v>82478.13</v>
      </c>
      <c r="I860" s="27">
        <f t="shared" si="127"/>
        <v>82478.13</v>
      </c>
      <c r="J860" s="27">
        <f t="shared" si="127"/>
        <v>82478.13</v>
      </c>
      <c r="K860" s="40">
        <f t="shared" si="127"/>
        <v>82478.13</v>
      </c>
      <c r="L860" s="27">
        <f t="shared" si="127"/>
        <v>82478.13</v>
      </c>
      <c r="M860" s="27">
        <f t="shared" si="127"/>
        <v>82478.13</v>
      </c>
      <c r="N860" s="27">
        <f t="shared" si="127"/>
        <v>82478.13</v>
      </c>
      <c r="O860" s="27">
        <f t="shared" si="127"/>
        <v>82478.13</v>
      </c>
      <c r="P860" s="27">
        <f t="shared" si="127"/>
        <v>970820.88</v>
      </c>
    </row>
    <row r="861" spans="1:16" ht="14.1" customHeight="1" x14ac:dyDescent="0.2">
      <c r="C861" s="12"/>
    </row>
    <row r="862" spans="1:16" ht="14.1" customHeight="1" x14ac:dyDescent="0.25">
      <c r="A862" s="1">
        <f>A856+1</f>
        <v>69</v>
      </c>
      <c r="B862" s="21"/>
      <c r="C862" s="5" t="s">
        <v>260</v>
      </c>
    </row>
    <row r="863" spans="1:16" ht="14.1" customHeight="1" x14ac:dyDescent="0.2">
      <c r="C863" s="4" t="s">
        <v>3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39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f>SUM(D863:O863)</f>
        <v>0</v>
      </c>
    </row>
    <row r="864" spans="1:16" ht="14.1" customHeight="1" x14ac:dyDescent="0.2">
      <c r="C864" s="4" t="s">
        <v>4</v>
      </c>
      <c r="D864" s="47">
        <v>250</v>
      </c>
      <c r="E864" s="47"/>
      <c r="F864" s="47"/>
      <c r="G864" s="47"/>
      <c r="H864" s="47"/>
      <c r="I864" s="47"/>
      <c r="J864" s="47"/>
      <c r="K864" s="55"/>
      <c r="L864" s="47"/>
      <c r="M864" s="47"/>
      <c r="N864" s="47"/>
      <c r="O864" s="47"/>
      <c r="P864" s="26">
        <f>SUM(D864:O864)</f>
        <v>250</v>
      </c>
    </row>
    <row r="865" spans="1:16" ht="14.1" customHeight="1" thickBot="1" x14ac:dyDescent="0.25">
      <c r="C865" s="4" t="s">
        <v>5</v>
      </c>
      <c r="D865" s="26">
        <f>7083.33+140080.17</f>
        <v>147163.5</v>
      </c>
      <c r="E865" s="26">
        <f>7083.33+140080.17</f>
        <v>147163.5</v>
      </c>
      <c r="F865" s="26">
        <f>7083.33+140080.17</f>
        <v>147163.5</v>
      </c>
      <c r="G865" s="26">
        <f>7083.33+140080.17</f>
        <v>147163.5</v>
      </c>
      <c r="H865" s="26">
        <f>7083.33+140080.17</f>
        <v>147163.5</v>
      </c>
      <c r="I865" s="47">
        <f>12083.33+139619.75</f>
        <v>151703.07999999999</v>
      </c>
      <c r="J865" s="47">
        <f t="shared" ref="J865:O865" si="128">12083.33+139619.75</f>
        <v>151703.07999999999</v>
      </c>
      <c r="K865" s="55">
        <f t="shared" si="128"/>
        <v>151703.07999999999</v>
      </c>
      <c r="L865" s="47">
        <f t="shared" si="128"/>
        <v>151703.07999999999</v>
      </c>
      <c r="M865" s="47">
        <f t="shared" si="128"/>
        <v>151703.07999999999</v>
      </c>
      <c r="N865" s="47">
        <f t="shared" si="128"/>
        <v>151703.07999999999</v>
      </c>
      <c r="O865" s="47">
        <f t="shared" si="128"/>
        <v>151703.07999999999</v>
      </c>
      <c r="P865" s="26">
        <f>SUM(D865:O865)</f>
        <v>1797739.0600000003</v>
      </c>
    </row>
    <row r="866" spans="1:16" ht="14.1" customHeight="1" thickBot="1" x14ac:dyDescent="0.25">
      <c r="C866" s="6" t="s">
        <v>65</v>
      </c>
      <c r="D866" s="27">
        <f t="shared" ref="D866:P866" si="129">SUM(D863:D865)</f>
        <v>147413.5</v>
      </c>
      <c r="E866" s="27">
        <f t="shared" si="129"/>
        <v>147163.5</v>
      </c>
      <c r="F866" s="27">
        <f t="shared" si="129"/>
        <v>147163.5</v>
      </c>
      <c r="G866" s="27">
        <f t="shared" si="129"/>
        <v>147163.5</v>
      </c>
      <c r="H866" s="27">
        <f t="shared" si="129"/>
        <v>147163.5</v>
      </c>
      <c r="I866" s="27">
        <f t="shared" si="129"/>
        <v>151703.07999999999</v>
      </c>
      <c r="J866" s="27">
        <f t="shared" si="129"/>
        <v>151703.07999999999</v>
      </c>
      <c r="K866" s="40">
        <f t="shared" si="129"/>
        <v>151703.07999999999</v>
      </c>
      <c r="L866" s="27">
        <f t="shared" si="129"/>
        <v>151703.07999999999</v>
      </c>
      <c r="M866" s="27">
        <f t="shared" si="129"/>
        <v>151703.07999999999</v>
      </c>
      <c r="N866" s="27">
        <f t="shared" si="129"/>
        <v>151703.07999999999</v>
      </c>
      <c r="O866" s="27">
        <f t="shared" si="129"/>
        <v>151703.07999999999</v>
      </c>
      <c r="P866" s="27">
        <f t="shared" si="129"/>
        <v>1797989.0600000003</v>
      </c>
    </row>
    <row r="867" spans="1:16" ht="14.1" customHeight="1" x14ac:dyDescent="0.2">
      <c r="C867" s="12"/>
    </row>
    <row r="868" spans="1:16" ht="14.1" customHeight="1" x14ac:dyDescent="0.25">
      <c r="A868" s="1">
        <f>A862+1</f>
        <v>70</v>
      </c>
      <c r="B868" s="21"/>
      <c r="C868" s="5" t="s">
        <v>261</v>
      </c>
    </row>
    <row r="869" spans="1:16" ht="14.1" customHeight="1" x14ac:dyDescent="0.2">
      <c r="C869" s="4" t="s">
        <v>3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39">
        <v>0</v>
      </c>
      <c r="L869" s="26">
        <v>0</v>
      </c>
      <c r="M869" s="26">
        <v>0</v>
      </c>
      <c r="N869" s="26">
        <v>0</v>
      </c>
      <c r="O869" s="26">
        <v>0</v>
      </c>
      <c r="P869" s="49">
        <f>SUM(D869:O869)</f>
        <v>0</v>
      </c>
    </row>
    <row r="870" spans="1:16" ht="14.1" customHeight="1" x14ac:dyDescent="0.2">
      <c r="C870" s="4" t="s">
        <v>4</v>
      </c>
      <c r="D870" s="47">
        <v>250</v>
      </c>
      <c r="E870" s="47"/>
      <c r="F870" s="47"/>
      <c r="G870" s="47"/>
      <c r="H870" s="47"/>
      <c r="I870" s="47"/>
      <c r="J870" s="47"/>
      <c r="K870" s="55"/>
      <c r="L870" s="47"/>
      <c r="M870" s="47"/>
      <c r="N870" s="47"/>
      <c r="O870" s="47"/>
      <c r="P870" s="49">
        <f>SUM(D870:O870)</f>
        <v>250</v>
      </c>
    </row>
    <row r="871" spans="1:16" ht="14.1" customHeight="1" thickBot="1" x14ac:dyDescent="0.25">
      <c r="C871" s="4" t="s">
        <v>5</v>
      </c>
      <c r="D871" s="47">
        <f>27916.67+67668.75</f>
        <v>95585.42</v>
      </c>
      <c r="E871" s="47">
        <f t="shared" ref="E871:M871" si="130">27916.67+67668.75</f>
        <v>95585.42</v>
      </c>
      <c r="F871" s="47">
        <f t="shared" si="130"/>
        <v>95585.42</v>
      </c>
      <c r="G871" s="47">
        <f t="shared" si="130"/>
        <v>95585.42</v>
      </c>
      <c r="H871" s="47">
        <f t="shared" si="130"/>
        <v>95585.42</v>
      </c>
      <c r="I871" s="47">
        <f t="shared" si="130"/>
        <v>95585.42</v>
      </c>
      <c r="J871" s="47">
        <f t="shared" si="130"/>
        <v>95585.42</v>
      </c>
      <c r="K871" s="55">
        <f t="shared" si="130"/>
        <v>95585.42</v>
      </c>
      <c r="L871" s="47">
        <f t="shared" si="130"/>
        <v>95585.42</v>
      </c>
      <c r="M871" s="47">
        <f t="shared" si="130"/>
        <v>95585.42</v>
      </c>
      <c r="N871" s="47">
        <f>27916.63+67668.75</f>
        <v>95585.38</v>
      </c>
      <c r="O871" s="47">
        <f>29166.67+66412.5</f>
        <v>95579.17</v>
      </c>
      <c r="P871" s="49">
        <f>SUM(D871:O871)</f>
        <v>1147018.75</v>
      </c>
    </row>
    <row r="872" spans="1:16" ht="14.1" customHeight="1" thickBot="1" x14ac:dyDescent="0.25">
      <c r="C872" s="6" t="s">
        <v>262</v>
      </c>
      <c r="D872" s="50">
        <f t="shared" ref="D872:P872" si="131">SUM(D869:D871)</f>
        <v>95835.42</v>
      </c>
      <c r="E872" s="50">
        <f t="shared" si="131"/>
        <v>95585.42</v>
      </c>
      <c r="F872" s="50">
        <f t="shared" si="131"/>
        <v>95585.42</v>
      </c>
      <c r="G872" s="50">
        <f t="shared" si="131"/>
        <v>95585.42</v>
      </c>
      <c r="H872" s="50">
        <f t="shared" si="131"/>
        <v>95585.42</v>
      </c>
      <c r="I872" s="50">
        <f t="shared" si="131"/>
        <v>95585.42</v>
      </c>
      <c r="J872" s="50">
        <f t="shared" si="131"/>
        <v>95585.42</v>
      </c>
      <c r="K872" s="52">
        <f t="shared" si="131"/>
        <v>95585.42</v>
      </c>
      <c r="L872" s="50">
        <f t="shared" si="131"/>
        <v>95585.42</v>
      </c>
      <c r="M872" s="50">
        <f t="shared" si="131"/>
        <v>95585.42</v>
      </c>
      <c r="N872" s="50">
        <f t="shared" si="131"/>
        <v>95585.38</v>
      </c>
      <c r="O872" s="50">
        <f t="shared" si="131"/>
        <v>95579.17</v>
      </c>
      <c r="P872" s="50">
        <f t="shared" si="131"/>
        <v>1147268.75</v>
      </c>
    </row>
    <row r="873" spans="1:16" ht="14.1" customHeight="1" x14ac:dyDescent="0.2">
      <c r="C873" s="12"/>
      <c r="D873" s="47"/>
      <c r="E873" s="47"/>
      <c r="F873" s="47"/>
      <c r="G873" s="47"/>
      <c r="H873" s="47"/>
      <c r="I873" s="47"/>
      <c r="J873" s="47"/>
      <c r="K873" s="55"/>
      <c r="L873" s="47"/>
      <c r="M873" s="47"/>
      <c r="N873" s="47"/>
      <c r="O873" s="47"/>
      <c r="P873" s="47"/>
    </row>
    <row r="874" spans="1:16" ht="14.1" customHeight="1" x14ac:dyDescent="0.25">
      <c r="A874" s="1">
        <f>A868+1</f>
        <v>71</v>
      </c>
      <c r="B874" s="21"/>
      <c r="C874" s="5" t="s">
        <v>263</v>
      </c>
    </row>
    <row r="875" spans="1:16" ht="14.1" customHeight="1" x14ac:dyDescent="0.2">
      <c r="C875" s="4" t="s">
        <v>3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39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f>SUM(D875:O875)</f>
        <v>0</v>
      </c>
    </row>
    <row r="876" spans="1:16" ht="14.1" customHeight="1" x14ac:dyDescent="0.2">
      <c r="C876" s="4" t="s">
        <v>4</v>
      </c>
      <c r="D876" s="47">
        <v>250</v>
      </c>
      <c r="E876" s="47"/>
      <c r="F876" s="47"/>
      <c r="G876" s="47"/>
      <c r="H876" s="47"/>
      <c r="I876" s="47"/>
      <c r="J876" s="47"/>
      <c r="K876" s="55"/>
      <c r="L876" s="47"/>
      <c r="M876" s="47"/>
      <c r="N876" s="47"/>
      <c r="O876" s="47"/>
      <c r="P876" s="26">
        <f>SUM(D876:O876)</f>
        <v>250</v>
      </c>
    </row>
    <row r="877" spans="1:16" ht="14.1" customHeight="1" thickBot="1" x14ac:dyDescent="0.25">
      <c r="C877" s="4" t="s">
        <v>5</v>
      </c>
      <c r="D877" s="26">
        <v>43410.91</v>
      </c>
      <c r="E877" s="26">
        <v>43410.91</v>
      </c>
      <c r="F877" s="26">
        <v>43410.91</v>
      </c>
      <c r="G877" s="26">
        <v>43410.91</v>
      </c>
      <c r="H877" s="47">
        <f>21512+43410.91</f>
        <v>64922.91</v>
      </c>
      <c r="I877" s="47">
        <f>12500+43420</f>
        <v>55920</v>
      </c>
      <c r="J877" s="47">
        <f>13333.33+42770+183.33</f>
        <v>56286.66</v>
      </c>
      <c r="K877" s="55">
        <f>13333.33+42770</f>
        <v>56103.33</v>
      </c>
      <c r="L877" s="47">
        <f>13333.33+42770</f>
        <v>56103.33</v>
      </c>
      <c r="M877" s="47">
        <f>13333.33+42770</f>
        <v>56103.33</v>
      </c>
      <c r="N877" s="47">
        <f>13333.33+42770</f>
        <v>56103.33</v>
      </c>
      <c r="O877" s="47">
        <f>13333.33+42770</f>
        <v>56103.33</v>
      </c>
      <c r="P877" s="26">
        <f>SUM(D877:O877)</f>
        <v>631289.8600000001</v>
      </c>
    </row>
    <row r="878" spans="1:16" ht="14.1" customHeight="1" thickBot="1" x14ac:dyDescent="0.25">
      <c r="C878" s="6" t="s">
        <v>264</v>
      </c>
      <c r="D878" s="27">
        <f t="shared" ref="D878:P878" si="132">SUM(D875:D877)</f>
        <v>43660.91</v>
      </c>
      <c r="E878" s="27">
        <f t="shared" si="132"/>
        <v>43410.91</v>
      </c>
      <c r="F878" s="27">
        <f t="shared" si="132"/>
        <v>43410.91</v>
      </c>
      <c r="G878" s="27">
        <f t="shared" si="132"/>
        <v>43410.91</v>
      </c>
      <c r="H878" s="27">
        <f t="shared" si="132"/>
        <v>64922.91</v>
      </c>
      <c r="I878" s="27">
        <f t="shared" si="132"/>
        <v>55920</v>
      </c>
      <c r="J878" s="27">
        <f t="shared" si="132"/>
        <v>56286.66</v>
      </c>
      <c r="K878" s="40">
        <f t="shared" si="132"/>
        <v>56103.33</v>
      </c>
      <c r="L878" s="27">
        <f t="shared" si="132"/>
        <v>56103.33</v>
      </c>
      <c r="M878" s="27">
        <f t="shared" si="132"/>
        <v>56103.33</v>
      </c>
      <c r="N878" s="27">
        <f t="shared" si="132"/>
        <v>56103.33</v>
      </c>
      <c r="O878" s="27">
        <f t="shared" si="132"/>
        <v>56103.33</v>
      </c>
      <c r="P878" s="27">
        <f t="shared" si="132"/>
        <v>631539.8600000001</v>
      </c>
    </row>
    <row r="879" spans="1:16" ht="14.1" customHeight="1" x14ac:dyDescent="0.2">
      <c r="C879" s="12"/>
    </row>
    <row r="880" spans="1:16" ht="14.1" customHeight="1" x14ac:dyDescent="0.25">
      <c r="A880" s="1">
        <f>A874+1</f>
        <v>72</v>
      </c>
      <c r="B880" s="21"/>
      <c r="C880" s="5" t="s">
        <v>265</v>
      </c>
    </row>
    <row r="881" spans="1:16" ht="14.1" customHeight="1" x14ac:dyDescent="0.2">
      <c r="C881" s="4" t="s">
        <v>3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39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f>SUM(D881:O881)</f>
        <v>0</v>
      </c>
    </row>
    <row r="882" spans="1:16" ht="14.1" customHeight="1" x14ac:dyDescent="0.2">
      <c r="C882" s="4" t="s">
        <v>4</v>
      </c>
      <c r="D882" s="47">
        <v>250</v>
      </c>
      <c r="E882" s="47"/>
      <c r="F882" s="47"/>
      <c r="G882" s="47"/>
      <c r="H882" s="47"/>
      <c r="I882" s="47"/>
      <c r="J882" s="47"/>
      <c r="K882" s="55"/>
      <c r="L882" s="47"/>
      <c r="M882" s="47"/>
      <c r="N882" s="47"/>
      <c r="O882" s="47"/>
      <c r="P882" s="26">
        <f>SUM(D882:O882)</f>
        <v>250</v>
      </c>
    </row>
    <row r="883" spans="1:16" ht="14.1" customHeight="1" thickBot="1" x14ac:dyDescent="0.25">
      <c r="C883" s="4" t="s">
        <v>5</v>
      </c>
      <c r="D883" s="26">
        <f>26250+35514.58</f>
        <v>61764.58</v>
      </c>
      <c r="E883" s="26">
        <f>26250+35514.58</f>
        <v>61764.58</v>
      </c>
      <c r="F883" s="26">
        <f>26250+35514.58</f>
        <v>61764.58</v>
      </c>
      <c r="G883" s="26">
        <f>26250+35514.6</f>
        <v>61764.6</v>
      </c>
      <c r="H883" s="47">
        <f>27083.33+34563.02</f>
        <v>61646.35</v>
      </c>
      <c r="I883" s="47">
        <f t="shared" ref="I883:O883" si="133">27083.33+34563.02</f>
        <v>61646.35</v>
      </c>
      <c r="J883" s="47">
        <f t="shared" si="133"/>
        <v>61646.35</v>
      </c>
      <c r="K883" s="55">
        <f t="shared" si="133"/>
        <v>61646.35</v>
      </c>
      <c r="L883" s="47">
        <f t="shared" si="133"/>
        <v>61646.35</v>
      </c>
      <c r="M883" s="47">
        <f>27083.33+34563.03</f>
        <v>61646.36</v>
      </c>
      <c r="N883" s="47">
        <f t="shared" si="133"/>
        <v>61646.35</v>
      </c>
      <c r="O883" s="47">
        <f t="shared" si="133"/>
        <v>61646.35</v>
      </c>
      <c r="P883" s="26">
        <f>SUM(D883:O883)</f>
        <v>740229.14999999991</v>
      </c>
    </row>
    <row r="884" spans="1:16" ht="14.1" customHeight="1" thickBot="1" x14ac:dyDescent="0.25">
      <c r="C884" s="6" t="s">
        <v>266</v>
      </c>
      <c r="D884" s="27">
        <f t="shared" ref="D884:P884" si="134">SUM(D881:D883)</f>
        <v>62014.58</v>
      </c>
      <c r="E884" s="27">
        <f t="shared" si="134"/>
        <v>61764.58</v>
      </c>
      <c r="F884" s="27">
        <f t="shared" si="134"/>
        <v>61764.58</v>
      </c>
      <c r="G884" s="27">
        <f t="shared" si="134"/>
        <v>61764.6</v>
      </c>
      <c r="H884" s="27">
        <f t="shared" si="134"/>
        <v>61646.35</v>
      </c>
      <c r="I884" s="27">
        <f t="shared" si="134"/>
        <v>61646.35</v>
      </c>
      <c r="J884" s="27">
        <f t="shared" si="134"/>
        <v>61646.35</v>
      </c>
      <c r="K884" s="40">
        <f t="shared" si="134"/>
        <v>61646.35</v>
      </c>
      <c r="L884" s="27">
        <f t="shared" si="134"/>
        <v>61646.35</v>
      </c>
      <c r="M884" s="27">
        <f t="shared" si="134"/>
        <v>61646.36</v>
      </c>
      <c r="N884" s="27">
        <f t="shared" si="134"/>
        <v>61646.35</v>
      </c>
      <c r="O884" s="27">
        <f t="shared" si="134"/>
        <v>61646.35</v>
      </c>
      <c r="P884" s="27">
        <f t="shared" si="134"/>
        <v>740479.14999999991</v>
      </c>
    </row>
    <row r="885" spans="1:16" ht="14.1" customHeight="1" x14ac:dyDescent="0.2">
      <c r="C885" s="12"/>
    </row>
    <row r="886" spans="1:16" ht="14.1" customHeight="1" x14ac:dyDescent="0.25">
      <c r="A886" s="1">
        <f>A880+1</f>
        <v>73</v>
      </c>
      <c r="B886" s="21"/>
      <c r="C886" s="5" t="s">
        <v>267</v>
      </c>
    </row>
    <row r="887" spans="1:16" ht="14.1" customHeight="1" x14ac:dyDescent="0.2">
      <c r="C887" s="4" t="s">
        <v>3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39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f>SUM(D887:O887)</f>
        <v>0</v>
      </c>
    </row>
    <row r="888" spans="1:16" ht="14.1" customHeight="1" x14ac:dyDescent="0.2">
      <c r="C888" s="4" t="s">
        <v>4</v>
      </c>
      <c r="D888" s="47">
        <v>250</v>
      </c>
      <c r="E888" s="47"/>
      <c r="F888" s="47"/>
      <c r="G888" s="47"/>
      <c r="H888" s="47"/>
      <c r="I888" s="47"/>
      <c r="J888" s="47"/>
      <c r="K888" s="55"/>
      <c r="L888" s="47"/>
      <c r="M888" s="47"/>
      <c r="N888" s="47"/>
      <c r="O888" s="47"/>
      <c r="P888" s="26">
        <f>SUM(D888:O888)</f>
        <v>250</v>
      </c>
    </row>
    <row r="889" spans="1:16" ht="14.1" customHeight="1" thickBot="1" x14ac:dyDescent="0.25">
      <c r="C889" s="4" t="s">
        <v>5</v>
      </c>
      <c r="D889" s="26">
        <v>43556.25</v>
      </c>
      <c r="E889" s="26">
        <v>43556.25</v>
      </c>
      <c r="F889" s="26">
        <v>43556.25</v>
      </c>
      <c r="G889" s="26">
        <v>43556.25</v>
      </c>
      <c r="H889" s="26">
        <v>43556.25</v>
      </c>
      <c r="I889" s="47">
        <f>10416.67+43556.25</f>
        <v>53972.92</v>
      </c>
      <c r="J889" s="47">
        <f t="shared" ref="J889:O889" si="135">10416.67+43556.25</f>
        <v>53972.92</v>
      </c>
      <c r="K889" s="55">
        <f t="shared" si="135"/>
        <v>53972.92</v>
      </c>
      <c r="L889" s="47">
        <f t="shared" si="135"/>
        <v>53972.92</v>
      </c>
      <c r="M889" s="47">
        <f t="shared" si="135"/>
        <v>53972.92</v>
      </c>
      <c r="N889" s="47">
        <f t="shared" si="135"/>
        <v>53972.92</v>
      </c>
      <c r="O889" s="47">
        <f t="shared" si="135"/>
        <v>53972.92</v>
      </c>
      <c r="P889" s="26">
        <f>SUM(D889:O889)</f>
        <v>595591.68999999994</v>
      </c>
    </row>
    <row r="890" spans="1:16" ht="14.1" customHeight="1" thickBot="1" x14ac:dyDescent="0.25">
      <c r="C890" s="6" t="s">
        <v>268</v>
      </c>
      <c r="D890" s="27">
        <f t="shared" ref="D890:P890" si="136">SUM(D887:D889)</f>
        <v>43806.25</v>
      </c>
      <c r="E890" s="27">
        <f t="shared" si="136"/>
        <v>43556.25</v>
      </c>
      <c r="F890" s="27">
        <f t="shared" si="136"/>
        <v>43556.25</v>
      </c>
      <c r="G890" s="27">
        <f t="shared" si="136"/>
        <v>43556.25</v>
      </c>
      <c r="H890" s="27">
        <f t="shared" si="136"/>
        <v>43556.25</v>
      </c>
      <c r="I890" s="27">
        <f t="shared" si="136"/>
        <v>53972.92</v>
      </c>
      <c r="J890" s="27">
        <f t="shared" si="136"/>
        <v>53972.92</v>
      </c>
      <c r="K890" s="40">
        <f t="shared" si="136"/>
        <v>53972.92</v>
      </c>
      <c r="L890" s="27">
        <f t="shared" si="136"/>
        <v>53972.92</v>
      </c>
      <c r="M890" s="27">
        <f t="shared" si="136"/>
        <v>53972.92</v>
      </c>
      <c r="N890" s="27">
        <f t="shared" si="136"/>
        <v>53972.92</v>
      </c>
      <c r="O890" s="27">
        <f t="shared" si="136"/>
        <v>53972.92</v>
      </c>
      <c r="P890" s="27">
        <f t="shared" si="136"/>
        <v>595841.68999999994</v>
      </c>
    </row>
    <row r="891" spans="1:16" ht="14.1" customHeight="1" x14ac:dyDescent="0.2">
      <c r="C891" s="12"/>
    </row>
    <row r="892" spans="1:16" ht="14.1" customHeight="1" x14ac:dyDescent="0.25">
      <c r="A892" s="1">
        <f>A886+1</f>
        <v>74</v>
      </c>
      <c r="B892" s="21"/>
      <c r="C892" s="5" t="s">
        <v>269</v>
      </c>
    </row>
    <row r="893" spans="1:16" ht="14.1" customHeight="1" x14ac:dyDescent="0.2">
      <c r="C893" s="4" t="s">
        <v>3</v>
      </c>
      <c r="D893" s="26">
        <v>496.67</v>
      </c>
      <c r="E893" s="26">
        <v>496.67</v>
      </c>
      <c r="F893" s="26">
        <v>496.67</v>
      </c>
      <c r="G893" s="26">
        <v>496.67</v>
      </c>
      <c r="H893" s="26">
        <v>496.67</v>
      </c>
      <c r="I893" s="26">
        <v>496.67</v>
      </c>
      <c r="J893" s="26">
        <v>496.67</v>
      </c>
      <c r="K893" s="55">
        <v>486.25</v>
      </c>
      <c r="L893" s="47">
        <v>486.25</v>
      </c>
      <c r="M893" s="47">
        <v>486.25</v>
      </c>
      <c r="N893" s="47">
        <v>486.25</v>
      </c>
      <c r="O893" s="47">
        <v>486.25</v>
      </c>
      <c r="P893" s="26">
        <f>SUM(D893:O893)</f>
        <v>5907.9400000000005</v>
      </c>
    </row>
    <row r="894" spans="1:16" ht="14.1" customHeight="1" x14ac:dyDescent="0.2">
      <c r="C894" s="4" t="s">
        <v>4</v>
      </c>
      <c r="D894" s="47">
        <v>250</v>
      </c>
      <c r="E894" s="47"/>
      <c r="F894" s="47"/>
      <c r="G894" s="47"/>
      <c r="H894" s="47"/>
      <c r="I894" s="47"/>
      <c r="J894" s="47"/>
      <c r="K894" s="55"/>
      <c r="L894" s="47"/>
      <c r="M894" s="47"/>
      <c r="N894" s="47"/>
      <c r="O894" s="47"/>
      <c r="P894" s="26">
        <f>SUM(D894:O894)</f>
        <v>250</v>
      </c>
    </row>
    <row r="895" spans="1:16" ht="14.1" customHeight="1" thickBot="1" x14ac:dyDescent="0.25">
      <c r="C895" s="4" t="s">
        <v>5</v>
      </c>
      <c r="D895" s="26">
        <f t="shared" ref="D895:J895" si="137">10416.67+21008.33</f>
        <v>31425</v>
      </c>
      <c r="E895" s="26">
        <f>10416.67+21008.35</f>
        <v>31425.019999999997</v>
      </c>
      <c r="F895" s="26">
        <f t="shared" si="137"/>
        <v>31425</v>
      </c>
      <c r="G895" s="26">
        <f t="shared" si="137"/>
        <v>31425</v>
      </c>
      <c r="H895" s="26">
        <f t="shared" si="137"/>
        <v>31425</v>
      </c>
      <c r="I895" s="26">
        <f t="shared" si="137"/>
        <v>31425</v>
      </c>
      <c r="J895" s="26">
        <f t="shared" si="137"/>
        <v>31425</v>
      </c>
      <c r="K895" s="39">
        <f>10416.67+21008.35</f>
        <v>31425.019999999997</v>
      </c>
      <c r="L895" s="47">
        <f>10833.33+20591.67</f>
        <v>31425</v>
      </c>
      <c r="M895" s="47">
        <f>10833.33+20591.67</f>
        <v>31425</v>
      </c>
      <c r="N895" s="47">
        <f>10833.33+20591.67</f>
        <v>31425</v>
      </c>
      <c r="O895" s="47">
        <f>10833.33+20591.67</f>
        <v>31425</v>
      </c>
      <c r="P895" s="26">
        <f>SUM(D895:O895)</f>
        <v>377100.04</v>
      </c>
    </row>
    <row r="896" spans="1:16" ht="14.1" customHeight="1" thickBot="1" x14ac:dyDescent="0.25">
      <c r="C896" s="6" t="s">
        <v>270</v>
      </c>
      <c r="D896" s="27">
        <f t="shared" ref="D896:P896" si="138">SUM(D893:D895)</f>
        <v>32171.67</v>
      </c>
      <c r="E896" s="27">
        <f t="shared" si="138"/>
        <v>31921.689999999995</v>
      </c>
      <c r="F896" s="27">
        <f t="shared" si="138"/>
        <v>31921.67</v>
      </c>
      <c r="G896" s="27">
        <f t="shared" si="138"/>
        <v>31921.67</v>
      </c>
      <c r="H896" s="27">
        <f t="shared" si="138"/>
        <v>31921.67</v>
      </c>
      <c r="I896" s="27">
        <f t="shared" si="138"/>
        <v>31921.67</v>
      </c>
      <c r="J896" s="27">
        <f t="shared" si="138"/>
        <v>31921.67</v>
      </c>
      <c r="K896" s="40">
        <f t="shared" si="138"/>
        <v>31911.269999999997</v>
      </c>
      <c r="L896" s="27">
        <f t="shared" si="138"/>
        <v>31911.25</v>
      </c>
      <c r="M896" s="27">
        <f t="shared" si="138"/>
        <v>31911.25</v>
      </c>
      <c r="N896" s="27">
        <f t="shared" si="138"/>
        <v>31911.25</v>
      </c>
      <c r="O896" s="27">
        <f t="shared" si="138"/>
        <v>31911.25</v>
      </c>
      <c r="P896" s="27">
        <f t="shared" si="138"/>
        <v>383257.98</v>
      </c>
    </row>
    <row r="897" spans="1:16" ht="14.1" customHeight="1" x14ac:dyDescent="0.2">
      <c r="C897" s="12"/>
    </row>
    <row r="898" spans="1:16" ht="14.1" customHeight="1" x14ac:dyDescent="0.25">
      <c r="B898" s="42" t="s">
        <v>105</v>
      </c>
      <c r="C898" s="30" t="s">
        <v>271</v>
      </c>
    </row>
    <row r="899" spans="1:16" ht="14.1" customHeight="1" x14ac:dyDescent="0.2">
      <c r="C899" s="4" t="s">
        <v>3</v>
      </c>
    </row>
    <row r="900" spans="1:16" ht="14.1" customHeight="1" x14ac:dyDescent="0.2">
      <c r="C900" s="4" t="s">
        <v>4</v>
      </c>
    </row>
    <row r="901" spans="1:16" ht="14.1" customHeight="1" thickBot="1" x14ac:dyDescent="0.25">
      <c r="C901" s="4" t="s">
        <v>5</v>
      </c>
    </row>
    <row r="902" spans="1:16" ht="14.1" customHeight="1" thickBot="1" x14ac:dyDescent="0.25">
      <c r="C902" s="6" t="s">
        <v>272</v>
      </c>
    </row>
    <row r="903" spans="1:16" ht="14.1" customHeight="1" x14ac:dyDescent="0.2">
      <c r="C903" s="12"/>
    </row>
    <row r="904" spans="1:16" ht="14.1" customHeight="1" x14ac:dyDescent="0.25">
      <c r="A904" s="1">
        <f>A892+1</f>
        <v>75</v>
      </c>
      <c r="B904" s="21"/>
      <c r="C904" s="5" t="s">
        <v>273</v>
      </c>
    </row>
    <row r="905" spans="1:16" ht="14.1" customHeight="1" x14ac:dyDescent="0.2">
      <c r="C905" s="4" t="s">
        <v>3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39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f>SUM(D905:O905)</f>
        <v>0</v>
      </c>
    </row>
    <row r="906" spans="1:16" ht="14.1" customHeight="1" x14ac:dyDescent="0.2">
      <c r="C906" s="4" t="s">
        <v>4</v>
      </c>
      <c r="D906" s="47">
        <v>250</v>
      </c>
      <c r="E906" s="47"/>
      <c r="F906" s="47"/>
      <c r="G906" s="47"/>
      <c r="H906" s="47"/>
      <c r="I906" s="47"/>
      <c r="J906" s="47"/>
      <c r="K906" s="55"/>
      <c r="L906" s="47"/>
      <c r="M906" s="47"/>
      <c r="N906" s="47"/>
      <c r="O906" s="47"/>
      <c r="P906" s="26">
        <f>SUM(D906:O906)</f>
        <v>250</v>
      </c>
    </row>
    <row r="907" spans="1:16" ht="14.1" customHeight="1" thickBot="1" x14ac:dyDescent="0.25">
      <c r="C907" s="4" t="s">
        <v>5</v>
      </c>
      <c r="D907" s="26">
        <f t="shared" ref="D907:J907" si="139">17916.67+56250</f>
        <v>74166.67</v>
      </c>
      <c r="E907" s="26">
        <f t="shared" si="139"/>
        <v>74166.67</v>
      </c>
      <c r="F907" s="26">
        <f t="shared" si="139"/>
        <v>74166.67</v>
      </c>
      <c r="G907" s="26">
        <f t="shared" si="139"/>
        <v>74166.67</v>
      </c>
      <c r="H907" s="26">
        <f t="shared" si="139"/>
        <v>74166.67</v>
      </c>
      <c r="I907" s="26">
        <f t="shared" si="139"/>
        <v>74166.67</v>
      </c>
      <c r="J907" s="26">
        <f t="shared" si="139"/>
        <v>74166.67</v>
      </c>
      <c r="K907" s="39">
        <f>17916.63+56250</f>
        <v>74166.63</v>
      </c>
      <c r="L907" s="47">
        <f>18750+55354.17</f>
        <v>74104.17</v>
      </c>
      <c r="M907" s="47">
        <f>18750+55354.17</f>
        <v>74104.17</v>
      </c>
      <c r="N907" s="47">
        <f>18750+55354.17</f>
        <v>74104.17</v>
      </c>
      <c r="O907" s="47">
        <f>18750+55354.17</f>
        <v>74104.17</v>
      </c>
      <c r="P907" s="26">
        <f>SUM(D907:O907)</f>
        <v>889750.00000000012</v>
      </c>
    </row>
    <row r="908" spans="1:16" ht="14.1" customHeight="1" thickBot="1" x14ac:dyDescent="0.25">
      <c r="C908" s="6" t="s">
        <v>183</v>
      </c>
      <c r="D908" s="27">
        <f t="shared" ref="D908:P908" si="140">SUM(D905:D907)</f>
        <v>74416.67</v>
      </c>
      <c r="E908" s="27">
        <f t="shared" si="140"/>
        <v>74166.67</v>
      </c>
      <c r="F908" s="27">
        <f t="shared" si="140"/>
        <v>74166.67</v>
      </c>
      <c r="G908" s="27">
        <f t="shared" si="140"/>
        <v>74166.67</v>
      </c>
      <c r="H908" s="27">
        <f t="shared" si="140"/>
        <v>74166.67</v>
      </c>
      <c r="I908" s="27">
        <f t="shared" si="140"/>
        <v>74166.67</v>
      </c>
      <c r="J908" s="27">
        <f t="shared" si="140"/>
        <v>74166.67</v>
      </c>
      <c r="K908" s="40">
        <f t="shared" si="140"/>
        <v>74166.63</v>
      </c>
      <c r="L908" s="27">
        <f t="shared" si="140"/>
        <v>74104.17</v>
      </c>
      <c r="M908" s="27">
        <f t="shared" si="140"/>
        <v>74104.17</v>
      </c>
      <c r="N908" s="27">
        <f t="shared" si="140"/>
        <v>74104.17</v>
      </c>
      <c r="O908" s="27">
        <f t="shared" si="140"/>
        <v>74104.17</v>
      </c>
      <c r="P908" s="27">
        <f t="shared" si="140"/>
        <v>890000.00000000012</v>
      </c>
    </row>
    <row r="909" spans="1:16" ht="14.1" customHeight="1" x14ac:dyDescent="0.2">
      <c r="C909" s="12"/>
    </row>
    <row r="910" spans="1:16" ht="14.1" customHeight="1" x14ac:dyDescent="0.25">
      <c r="A910" s="1">
        <f>A904+1</f>
        <v>76</v>
      </c>
      <c r="B910" s="21"/>
      <c r="C910" s="5" t="s">
        <v>275</v>
      </c>
    </row>
    <row r="911" spans="1:16" ht="14.1" customHeight="1" x14ac:dyDescent="0.2">
      <c r="C911" s="4" t="s">
        <v>3</v>
      </c>
      <c r="D911" s="26">
        <v>1060.42</v>
      </c>
      <c r="E911" s="26">
        <v>1060.42</v>
      </c>
      <c r="F911" s="26">
        <v>1060.42</v>
      </c>
      <c r="G911" s="26">
        <v>1060.42</v>
      </c>
      <c r="H911" s="26">
        <v>1060.42</v>
      </c>
      <c r="I911" s="26">
        <v>1060.42</v>
      </c>
      <c r="J911" s="26">
        <v>1060.42</v>
      </c>
      <c r="K911" s="55">
        <v>1050</v>
      </c>
      <c r="L911" s="47">
        <v>1050</v>
      </c>
      <c r="M911" s="47">
        <v>1050</v>
      </c>
      <c r="N911" s="47">
        <v>1050</v>
      </c>
      <c r="O911" s="47">
        <v>1028.75</v>
      </c>
      <c r="P911" s="26">
        <f>SUM(D911:O911)</f>
        <v>12651.69</v>
      </c>
    </row>
    <row r="912" spans="1:16" ht="14.1" customHeight="1" x14ac:dyDescent="0.2">
      <c r="C912" s="4" t="s">
        <v>4</v>
      </c>
      <c r="D912" s="47">
        <v>250</v>
      </c>
      <c r="E912" s="47"/>
      <c r="F912" s="47"/>
      <c r="G912" s="47"/>
      <c r="H912" s="47"/>
      <c r="I912" s="47"/>
      <c r="J912" s="47"/>
      <c r="K912" s="55"/>
      <c r="L912" s="47"/>
      <c r="M912" s="47"/>
      <c r="N912" s="47"/>
      <c r="O912" s="47"/>
      <c r="P912" s="26">
        <f>SUM(D912:O912)</f>
        <v>250</v>
      </c>
    </row>
    <row r="913" spans="1:16" ht="14.1" customHeight="1" thickBot="1" x14ac:dyDescent="0.25">
      <c r="C913" s="4" t="s">
        <v>5</v>
      </c>
      <c r="D913" s="26">
        <f>31666.67+42721.88</f>
        <v>74388.549999999988</v>
      </c>
      <c r="E913" s="26">
        <f>31666.67+42721.88</f>
        <v>74388.549999999988</v>
      </c>
      <c r="F913" s="26">
        <f>31666.67+42721.88</f>
        <v>74388.549999999988</v>
      </c>
      <c r="G913" s="26">
        <f>31666.63+42721.85</f>
        <v>74388.479999999996</v>
      </c>
      <c r="H913" s="47">
        <f>32916.67+41455.21</f>
        <v>74371.88</v>
      </c>
      <c r="I913" s="47">
        <f t="shared" ref="I913:O913" si="141">32916.67+41455.21</f>
        <v>74371.88</v>
      </c>
      <c r="J913" s="47">
        <f t="shared" si="141"/>
        <v>74371.88</v>
      </c>
      <c r="K913" s="55">
        <f t="shared" si="141"/>
        <v>74371.88</v>
      </c>
      <c r="L913" s="47">
        <f t="shared" si="141"/>
        <v>74371.88</v>
      </c>
      <c r="M913" s="47">
        <f>32916.67+41455.2</f>
        <v>74371.87</v>
      </c>
      <c r="N913" s="47">
        <f t="shared" si="141"/>
        <v>74371.88</v>
      </c>
      <c r="O913" s="47">
        <f t="shared" si="141"/>
        <v>74371.88</v>
      </c>
      <c r="P913" s="26">
        <f>SUM(D913:O913)</f>
        <v>892529.15999999992</v>
      </c>
    </row>
    <row r="914" spans="1:16" ht="14.1" customHeight="1" thickBot="1" x14ac:dyDescent="0.25">
      <c r="C914" s="6" t="s">
        <v>118</v>
      </c>
      <c r="D914" s="27">
        <f t="shared" ref="D914:P914" si="142">SUM(D911:D913)</f>
        <v>75698.969999999987</v>
      </c>
      <c r="E914" s="27">
        <f t="shared" si="142"/>
        <v>75448.969999999987</v>
      </c>
      <c r="F914" s="27">
        <f t="shared" si="142"/>
        <v>75448.969999999987</v>
      </c>
      <c r="G914" s="27">
        <f t="shared" si="142"/>
        <v>75448.899999999994</v>
      </c>
      <c r="H914" s="27">
        <f t="shared" si="142"/>
        <v>75432.3</v>
      </c>
      <c r="I914" s="27">
        <f t="shared" si="142"/>
        <v>75432.3</v>
      </c>
      <c r="J914" s="27">
        <f t="shared" si="142"/>
        <v>75432.3</v>
      </c>
      <c r="K914" s="40">
        <f t="shared" si="142"/>
        <v>75421.88</v>
      </c>
      <c r="L914" s="27">
        <f t="shared" si="142"/>
        <v>75421.88</v>
      </c>
      <c r="M914" s="27">
        <f t="shared" si="142"/>
        <v>75421.87</v>
      </c>
      <c r="N914" s="27">
        <f t="shared" si="142"/>
        <v>75421.88</v>
      </c>
      <c r="O914" s="27">
        <f t="shared" si="142"/>
        <v>75400.63</v>
      </c>
      <c r="P914" s="27">
        <f t="shared" si="142"/>
        <v>905430.84999999986</v>
      </c>
    </row>
    <row r="915" spans="1:16" ht="14.1" customHeight="1" x14ac:dyDescent="0.2">
      <c r="C915" s="12"/>
    </row>
    <row r="916" spans="1:16" ht="14.1" customHeight="1" x14ac:dyDescent="0.25">
      <c r="A916" s="1">
        <f>A910+1</f>
        <v>77</v>
      </c>
      <c r="B916" s="21"/>
      <c r="C916" s="5" t="s">
        <v>276</v>
      </c>
    </row>
    <row r="917" spans="1:16" ht="14.1" customHeight="1" x14ac:dyDescent="0.2">
      <c r="C917" s="4" t="s">
        <v>3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39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f>SUM(D917:O917)</f>
        <v>0</v>
      </c>
    </row>
    <row r="918" spans="1:16" ht="14.1" customHeight="1" x14ac:dyDescent="0.2">
      <c r="C918" s="4" t="s">
        <v>4</v>
      </c>
      <c r="D918" s="47">
        <v>250</v>
      </c>
      <c r="E918" s="47"/>
      <c r="F918" s="47"/>
      <c r="G918" s="47"/>
      <c r="H918" s="47"/>
      <c r="I918" s="47"/>
      <c r="J918" s="47"/>
      <c r="K918" s="55"/>
      <c r="L918" s="47"/>
      <c r="M918" s="47"/>
      <c r="N918" s="47"/>
      <c r="O918" s="47"/>
      <c r="P918" s="26">
        <f>SUM(D918:O918)</f>
        <v>250</v>
      </c>
    </row>
    <row r="919" spans="1:16" ht="14.1" customHeight="1" thickBot="1" x14ac:dyDescent="0.25">
      <c r="C919" s="4" t="s">
        <v>5</v>
      </c>
      <c r="D919" s="47">
        <f>15900+56783.38</f>
        <v>72683.38</v>
      </c>
      <c r="E919" s="47">
        <f>15900+56710.5</f>
        <v>72610.5</v>
      </c>
      <c r="F919" s="47">
        <f>15900+56637.63</f>
        <v>72537.63</v>
      </c>
      <c r="G919" s="47">
        <f>15900+56564.75</f>
        <v>72464.75</v>
      </c>
      <c r="H919" s="47">
        <f>15900+56491.88</f>
        <v>72391.88</v>
      </c>
      <c r="I919" s="47">
        <f>15900+56419</f>
        <v>72319</v>
      </c>
      <c r="J919" s="47">
        <f>15900+56346.13</f>
        <v>72246.13</v>
      </c>
      <c r="K919" s="55">
        <f>15900+56273.25</f>
        <v>72173.25</v>
      </c>
      <c r="L919" s="47">
        <f>15900+56200.38</f>
        <v>72100.38</v>
      </c>
      <c r="M919" s="47">
        <f>15900+56127.5</f>
        <v>72027.5</v>
      </c>
      <c r="N919" s="47">
        <f>16800+56054.63</f>
        <v>72854.63</v>
      </c>
      <c r="O919" s="47">
        <f>16800+55977.63</f>
        <v>72777.63</v>
      </c>
      <c r="P919" s="26">
        <f>SUM(D919:O919)</f>
        <v>869186.66</v>
      </c>
    </row>
    <row r="920" spans="1:16" ht="14.1" customHeight="1" thickBot="1" x14ac:dyDescent="0.25">
      <c r="C920" s="6" t="s">
        <v>277</v>
      </c>
      <c r="D920" s="27">
        <f t="shared" ref="D920:P920" si="143">SUM(D917:D919)</f>
        <v>72933.38</v>
      </c>
      <c r="E920" s="27">
        <f t="shared" si="143"/>
        <v>72610.5</v>
      </c>
      <c r="F920" s="27">
        <f t="shared" si="143"/>
        <v>72537.63</v>
      </c>
      <c r="G920" s="27">
        <f t="shared" si="143"/>
        <v>72464.75</v>
      </c>
      <c r="H920" s="27">
        <f t="shared" si="143"/>
        <v>72391.88</v>
      </c>
      <c r="I920" s="27">
        <f t="shared" si="143"/>
        <v>72319</v>
      </c>
      <c r="J920" s="27">
        <f t="shared" si="143"/>
        <v>72246.13</v>
      </c>
      <c r="K920" s="40">
        <f t="shared" si="143"/>
        <v>72173.25</v>
      </c>
      <c r="L920" s="27">
        <f t="shared" si="143"/>
        <v>72100.38</v>
      </c>
      <c r="M920" s="27">
        <f t="shared" si="143"/>
        <v>72027.5</v>
      </c>
      <c r="N920" s="27">
        <f t="shared" si="143"/>
        <v>72854.63</v>
      </c>
      <c r="O920" s="27">
        <f t="shared" si="143"/>
        <v>72777.63</v>
      </c>
      <c r="P920" s="27">
        <f t="shared" si="143"/>
        <v>869436.66</v>
      </c>
    </row>
    <row r="921" spans="1:16" ht="14.1" customHeight="1" x14ac:dyDescent="0.2">
      <c r="C921" s="12"/>
    </row>
    <row r="922" spans="1:16" ht="14.1" customHeight="1" x14ac:dyDescent="0.25">
      <c r="A922" s="1">
        <f>A916+1</f>
        <v>78</v>
      </c>
      <c r="B922" s="21"/>
      <c r="C922" s="5" t="s">
        <v>278</v>
      </c>
    </row>
    <row r="923" spans="1:16" ht="14.1" customHeight="1" x14ac:dyDescent="0.2">
      <c r="C923" s="4" t="s">
        <v>3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39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f>SUM(D923:O923)</f>
        <v>0</v>
      </c>
    </row>
    <row r="924" spans="1:16" ht="14.1" customHeight="1" x14ac:dyDescent="0.2">
      <c r="C924" s="4" t="s">
        <v>4</v>
      </c>
      <c r="D924" s="47">
        <v>250</v>
      </c>
      <c r="E924" s="47"/>
      <c r="F924" s="47"/>
      <c r="G924" s="47"/>
      <c r="H924" s="47"/>
      <c r="I924" s="47"/>
      <c r="J924" s="47"/>
      <c r="K924" s="55"/>
      <c r="L924" s="47"/>
      <c r="M924" s="47"/>
      <c r="N924" s="47"/>
      <c r="O924" s="47"/>
      <c r="P924" s="26">
        <f>SUM(D924:O924)</f>
        <v>250</v>
      </c>
    </row>
    <row r="925" spans="1:16" ht="14.1" customHeight="1" thickBot="1" x14ac:dyDescent="0.25">
      <c r="C925" s="4" t="s">
        <v>5</v>
      </c>
      <c r="D925" s="26">
        <v>28000</v>
      </c>
      <c r="E925" s="26">
        <v>28000</v>
      </c>
      <c r="F925" s="26">
        <v>28000</v>
      </c>
      <c r="G925" s="26">
        <v>28000</v>
      </c>
      <c r="H925" s="26">
        <v>28000</v>
      </c>
      <c r="I925" s="26">
        <v>28000</v>
      </c>
      <c r="J925" s="26">
        <v>28000</v>
      </c>
      <c r="K925" s="39">
        <v>28000</v>
      </c>
      <c r="L925" s="26">
        <v>28000</v>
      </c>
      <c r="M925" s="26">
        <v>28000</v>
      </c>
      <c r="N925" s="26">
        <f>24440+28000</f>
        <v>52440</v>
      </c>
      <c r="O925" s="47">
        <f>24430+27931.57</f>
        <v>52361.57</v>
      </c>
      <c r="P925" s="26">
        <f>SUM(D925:O925)</f>
        <v>384801.57</v>
      </c>
    </row>
    <row r="926" spans="1:16" ht="14.1" customHeight="1" thickBot="1" x14ac:dyDescent="0.25">
      <c r="C926" s="6" t="s">
        <v>89</v>
      </c>
      <c r="D926" s="27">
        <f t="shared" ref="D926:P926" si="144">SUM(D923:D925)</f>
        <v>28250</v>
      </c>
      <c r="E926" s="27">
        <f t="shared" si="144"/>
        <v>28000</v>
      </c>
      <c r="F926" s="27">
        <f t="shared" si="144"/>
        <v>28000</v>
      </c>
      <c r="G926" s="27">
        <f t="shared" si="144"/>
        <v>28000</v>
      </c>
      <c r="H926" s="27">
        <f t="shared" si="144"/>
        <v>28000</v>
      </c>
      <c r="I926" s="27">
        <f t="shared" si="144"/>
        <v>28000</v>
      </c>
      <c r="J926" s="27">
        <f t="shared" si="144"/>
        <v>28000</v>
      </c>
      <c r="K926" s="40">
        <f t="shared" si="144"/>
        <v>28000</v>
      </c>
      <c r="L926" s="27">
        <f t="shared" si="144"/>
        <v>28000</v>
      </c>
      <c r="M926" s="27">
        <f t="shared" si="144"/>
        <v>28000</v>
      </c>
      <c r="N926" s="27">
        <f t="shared" si="144"/>
        <v>52440</v>
      </c>
      <c r="O926" s="27">
        <f t="shared" si="144"/>
        <v>52361.57</v>
      </c>
      <c r="P926" s="27">
        <f t="shared" si="144"/>
        <v>385051.57</v>
      </c>
    </row>
    <row r="927" spans="1:16" ht="14.1" customHeight="1" x14ac:dyDescent="0.2">
      <c r="C927" s="12"/>
    </row>
    <row r="928" spans="1:16" ht="14.1" customHeight="1" x14ac:dyDescent="0.25">
      <c r="A928" s="1">
        <f>A922+1</f>
        <v>79</v>
      </c>
      <c r="B928" s="21"/>
      <c r="C928" s="5" t="s">
        <v>279</v>
      </c>
    </row>
    <row r="929" spans="1:16" ht="14.1" customHeight="1" x14ac:dyDescent="0.2">
      <c r="C929" s="4" t="s">
        <v>3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39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f>SUM(D929:O929)</f>
        <v>0</v>
      </c>
    </row>
    <row r="930" spans="1:16" ht="14.1" customHeight="1" x14ac:dyDescent="0.2">
      <c r="C930" s="4" t="s">
        <v>4</v>
      </c>
      <c r="D930" s="47">
        <v>250</v>
      </c>
      <c r="E930" s="47"/>
      <c r="F930" s="47"/>
      <c r="G930" s="47"/>
      <c r="H930" s="47"/>
      <c r="I930" s="47"/>
      <c r="J930" s="47"/>
      <c r="K930" s="55"/>
      <c r="L930" s="47"/>
      <c r="M930" s="47"/>
      <c r="N930" s="47"/>
      <c r="O930" s="47"/>
      <c r="P930" s="26">
        <f>SUM(D930:O930)</f>
        <v>250</v>
      </c>
    </row>
    <row r="931" spans="1:16" ht="14.1" customHeight="1" thickBot="1" x14ac:dyDescent="0.25">
      <c r="C931" s="4" t="s">
        <v>5</v>
      </c>
      <c r="D931" s="26">
        <v>25656.25</v>
      </c>
      <c r="E931" s="26">
        <v>25656.25</v>
      </c>
      <c r="F931" s="26">
        <v>25656.25</v>
      </c>
      <c r="G931" s="26">
        <v>25656.25</v>
      </c>
      <c r="H931" s="26">
        <v>25656.25</v>
      </c>
      <c r="I931" s="47">
        <v>64614.58</v>
      </c>
      <c r="J931" s="47">
        <v>64614.58</v>
      </c>
      <c r="K931" s="55">
        <v>64614.58</v>
      </c>
      <c r="L931" s="47">
        <v>64614.58</v>
      </c>
      <c r="M931" s="47">
        <v>64614.58</v>
      </c>
      <c r="N931" s="47">
        <v>64614.6</v>
      </c>
      <c r="O931" s="47">
        <f>416.67+64614.58</f>
        <v>65031.25</v>
      </c>
      <c r="P931" s="26">
        <f>SUM(D931:O931)</f>
        <v>581000</v>
      </c>
    </row>
    <row r="932" spans="1:16" ht="14.1" customHeight="1" thickBot="1" x14ac:dyDescent="0.25">
      <c r="C932" s="6" t="s">
        <v>280</v>
      </c>
      <c r="D932" s="27">
        <f t="shared" ref="D932:P932" si="145">SUM(D929:D931)</f>
        <v>25906.25</v>
      </c>
      <c r="E932" s="27">
        <f t="shared" si="145"/>
        <v>25656.25</v>
      </c>
      <c r="F932" s="27">
        <f t="shared" si="145"/>
        <v>25656.25</v>
      </c>
      <c r="G932" s="27">
        <f t="shared" si="145"/>
        <v>25656.25</v>
      </c>
      <c r="H932" s="27">
        <f t="shared" si="145"/>
        <v>25656.25</v>
      </c>
      <c r="I932" s="27">
        <f t="shared" si="145"/>
        <v>64614.58</v>
      </c>
      <c r="J932" s="27">
        <f t="shared" si="145"/>
        <v>64614.58</v>
      </c>
      <c r="K932" s="40">
        <f t="shared" si="145"/>
        <v>64614.58</v>
      </c>
      <c r="L932" s="27">
        <f t="shared" si="145"/>
        <v>64614.58</v>
      </c>
      <c r="M932" s="27">
        <f t="shared" si="145"/>
        <v>64614.58</v>
      </c>
      <c r="N932" s="27">
        <f t="shared" si="145"/>
        <v>64614.6</v>
      </c>
      <c r="O932" s="27">
        <f t="shared" si="145"/>
        <v>65031.25</v>
      </c>
      <c r="P932" s="27">
        <f t="shared" si="145"/>
        <v>581250</v>
      </c>
    </row>
    <row r="933" spans="1:16" ht="14.1" customHeight="1" x14ac:dyDescent="0.2">
      <c r="C933" s="12"/>
    </row>
    <row r="934" spans="1:16" ht="14.1" customHeight="1" x14ac:dyDescent="0.25">
      <c r="A934" s="1">
        <f>A928+1</f>
        <v>80</v>
      </c>
      <c r="B934" s="21"/>
      <c r="C934" s="5" t="s">
        <v>281</v>
      </c>
    </row>
    <row r="935" spans="1:16" ht="14.1" customHeight="1" x14ac:dyDescent="0.2">
      <c r="C935" s="4" t="s">
        <v>3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39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f>SUM(D935:O935)</f>
        <v>0</v>
      </c>
    </row>
    <row r="936" spans="1:16" ht="14.1" customHeight="1" x14ac:dyDescent="0.2">
      <c r="C936" s="4" t="s">
        <v>4</v>
      </c>
      <c r="D936" s="47">
        <v>250</v>
      </c>
      <c r="E936" s="47"/>
      <c r="F936" s="47"/>
      <c r="G936" s="47"/>
      <c r="H936" s="47"/>
      <c r="I936" s="47"/>
      <c r="J936" s="47"/>
      <c r="K936" s="55"/>
      <c r="L936" s="47"/>
      <c r="M936" s="47"/>
      <c r="N936" s="47"/>
      <c r="O936" s="47"/>
      <c r="P936" s="26">
        <f>SUM(D936:O936)</f>
        <v>250</v>
      </c>
    </row>
    <row r="937" spans="1:16" ht="14.1" customHeight="1" thickBot="1" x14ac:dyDescent="0.25">
      <c r="C937" s="4" t="s">
        <v>5</v>
      </c>
      <c r="D937" s="47">
        <f>12687.73+16865.14</f>
        <v>29552.87</v>
      </c>
      <c r="E937" s="47">
        <f>12687.73+16827.12</f>
        <v>29514.85</v>
      </c>
      <c r="F937" s="47">
        <f>12687.73+16247.51</f>
        <v>28935.239999999998</v>
      </c>
      <c r="G937" s="47">
        <f>12687.73+16751.08</f>
        <v>29438.81</v>
      </c>
      <c r="H937" s="47">
        <f>12687.73+16173.92</f>
        <v>28861.65</v>
      </c>
      <c r="I937" s="47">
        <f>12687.73+16675.03</f>
        <v>29362.76</v>
      </c>
      <c r="J937" s="47">
        <f>12687.73+16637.01</f>
        <v>29324.739999999998</v>
      </c>
      <c r="K937" s="55">
        <f>12687.73+14992.64</f>
        <v>27680.37</v>
      </c>
      <c r="L937" s="47">
        <f>12687.73+16560.97</f>
        <v>29248.7</v>
      </c>
      <c r="M937" s="47">
        <f>12687.73+15989.95</f>
        <v>28677.68</v>
      </c>
      <c r="N937" s="47">
        <f>12687.75+16484.93</f>
        <v>29172.68</v>
      </c>
      <c r="O937" s="47">
        <f>13098.66+15916.36</f>
        <v>29015.02</v>
      </c>
      <c r="P937" s="26">
        <f>SUM(D937:O937)</f>
        <v>348785.37</v>
      </c>
    </row>
    <row r="938" spans="1:16" ht="14.1" customHeight="1" thickBot="1" x14ac:dyDescent="0.25">
      <c r="C938" s="6" t="s">
        <v>18</v>
      </c>
      <c r="D938" s="27">
        <f t="shared" ref="D938:P938" si="146">SUM(D935:D937)</f>
        <v>29802.87</v>
      </c>
      <c r="E938" s="27">
        <f t="shared" si="146"/>
        <v>29514.85</v>
      </c>
      <c r="F938" s="27">
        <f t="shared" si="146"/>
        <v>28935.239999999998</v>
      </c>
      <c r="G938" s="27">
        <f t="shared" si="146"/>
        <v>29438.81</v>
      </c>
      <c r="H938" s="27">
        <f t="shared" si="146"/>
        <v>28861.65</v>
      </c>
      <c r="I938" s="27">
        <f t="shared" si="146"/>
        <v>29362.76</v>
      </c>
      <c r="J938" s="27">
        <f t="shared" si="146"/>
        <v>29324.739999999998</v>
      </c>
      <c r="K938" s="40">
        <f t="shared" si="146"/>
        <v>27680.37</v>
      </c>
      <c r="L938" s="27">
        <f t="shared" si="146"/>
        <v>29248.7</v>
      </c>
      <c r="M938" s="27">
        <f t="shared" si="146"/>
        <v>28677.68</v>
      </c>
      <c r="N938" s="27">
        <f t="shared" si="146"/>
        <v>29172.68</v>
      </c>
      <c r="O938" s="27">
        <f t="shared" si="146"/>
        <v>29015.02</v>
      </c>
      <c r="P938" s="27">
        <f t="shared" si="146"/>
        <v>349035.37</v>
      </c>
    </row>
    <row r="939" spans="1:16" ht="14.1" customHeight="1" x14ac:dyDescent="0.2">
      <c r="C939" s="12"/>
    </row>
    <row r="940" spans="1:16" ht="14.1" customHeight="1" x14ac:dyDescent="0.25">
      <c r="A940" s="1">
        <f>A934+1</f>
        <v>81</v>
      </c>
      <c r="B940" s="21"/>
      <c r="C940" s="5" t="s">
        <v>282</v>
      </c>
    </row>
    <row r="941" spans="1:16" ht="14.1" customHeight="1" x14ac:dyDescent="0.2">
      <c r="C941" s="4" t="s">
        <v>3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39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f>SUM(D941:O941)</f>
        <v>0</v>
      </c>
    </row>
    <row r="942" spans="1:16" ht="14.1" customHeight="1" x14ac:dyDescent="0.2">
      <c r="C942" s="4" t="s">
        <v>4</v>
      </c>
      <c r="D942" s="47">
        <v>250</v>
      </c>
      <c r="E942" s="47"/>
      <c r="F942" s="47"/>
      <c r="G942" s="47"/>
      <c r="H942" s="47"/>
      <c r="I942" s="47"/>
      <c r="J942" s="47"/>
      <c r="K942" s="55"/>
      <c r="L942" s="47"/>
      <c r="M942" s="47"/>
      <c r="N942" s="47"/>
      <c r="O942" s="47"/>
      <c r="P942" s="26">
        <f>SUM(D942:O942)</f>
        <v>250</v>
      </c>
    </row>
    <row r="943" spans="1:16" ht="14.1" customHeight="1" thickBot="1" x14ac:dyDescent="0.25">
      <c r="C943" s="4" t="s">
        <v>5</v>
      </c>
      <c r="D943" s="47">
        <f>36582.29+5833.33</f>
        <v>42415.62</v>
      </c>
      <c r="E943" s="47">
        <f t="shared" ref="E943:N943" si="147">36582.29+5833.33</f>
        <v>42415.62</v>
      </c>
      <c r="F943" s="47">
        <f t="shared" si="147"/>
        <v>42415.62</v>
      </c>
      <c r="G943" s="47">
        <f t="shared" si="147"/>
        <v>42415.62</v>
      </c>
      <c r="H943" s="47">
        <f t="shared" si="147"/>
        <v>42415.62</v>
      </c>
      <c r="I943" s="47">
        <f>36582.3+5833.33</f>
        <v>42415.630000000005</v>
      </c>
      <c r="J943" s="47">
        <f t="shared" si="147"/>
        <v>42415.62</v>
      </c>
      <c r="K943" s="55">
        <f t="shared" si="147"/>
        <v>42415.62</v>
      </c>
      <c r="L943" s="47">
        <f t="shared" si="147"/>
        <v>42415.62</v>
      </c>
      <c r="M943" s="47">
        <f t="shared" si="147"/>
        <v>42415.62</v>
      </c>
      <c r="N943" s="47">
        <f t="shared" si="147"/>
        <v>42415.62</v>
      </c>
      <c r="O943" s="47">
        <f>36582.3+5833.37</f>
        <v>42415.670000000006</v>
      </c>
      <c r="P943" s="26">
        <f>SUM(D943:O943)</f>
        <v>508987.5</v>
      </c>
    </row>
    <row r="944" spans="1:16" ht="14.1" customHeight="1" thickBot="1" x14ac:dyDescent="0.25">
      <c r="C944" s="6" t="s">
        <v>283</v>
      </c>
      <c r="D944" s="27">
        <f t="shared" ref="D944:P944" si="148">SUM(D941:D943)</f>
        <v>42665.62</v>
      </c>
      <c r="E944" s="27">
        <f t="shared" si="148"/>
        <v>42415.62</v>
      </c>
      <c r="F944" s="27">
        <f t="shared" si="148"/>
        <v>42415.62</v>
      </c>
      <c r="G944" s="27">
        <f t="shared" si="148"/>
        <v>42415.62</v>
      </c>
      <c r="H944" s="27">
        <f t="shared" si="148"/>
        <v>42415.62</v>
      </c>
      <c r="I944" s="27">
        <f t="shared" si="148"/>
        <v>42415.630000000005</v>
      </c>
      <c r="J944" s="27">
        <f t="shared" si="148"/>
        <v>42415.62</v>
      </c>
      <c r="K944" s="40">
        <f t="shared" si="148"/>
        <v>42415.62</v>
      </c>
      <c r="L944" s="27">
        <f t="shared" si="148"/>
        <v>42415.62</v>
      </c>
      <c r="M944" s="27">
        <f t="shared" si="148"/>
        <v>42415.62</v>
      </c>
      <c r="N944" s="27">
        <f t="shared" si="148"/>
        <v>42415.62</v>
      </c>
      <c r="O944" s="27">
        <f t="shared" si="148"/>
        <v>42415.670000000006</v>
      </c>
      <c r="P944" s="27">
        <f t="shared" si="148"/>
        <v>509237.5</v>
      </c>
    </row>
    <row r="945" spans="1:16" ht="14.1" customHeight="1" x14ac:dyDescent="0.2">
      <c r="C945" s="12"/>
    </row>
    <row r="946" spans="1:16" ht="14.1" customHeight="1" x14ac:dyDescent="0.25">
      <c r="A946" s="1">
        <f>A940+1</f>
        <v>82</v>
      </c>
      <c r="B946" s="21"/>
      <c r="C946" s="5" t="s">
        <v>284</v>
      </c>
    </row>
    <row r="947" spans="1:16" ht="14.1" customHeight="1" x14ac:dyDescent="0.2">
      <c r="C947" s="4" t="s">
        <v>3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39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f>SUM(D947:O947)</f>
        <v>0</v>
      </c>
    </row>
    <row r="948" spans="1:16" ht="14.1" customHeight="1" x14ac:dyDescent="0.2">
      <c r="C948" s="4" t="s">
        <v>4</v>
      </c>
      <c r="D948" s="47">
        <v>250</v>
      </c>
      <c r="E948" s="47"/>
      <c r="F948" s="47"/>
      <c r="G948" s="47"/>
      <c r="H948" s="47"/>
      <c r="I948" s="47"/>
      <c r="J948" s="47"/>
      <c r="K948" s="55"/>
      <c r="L948" s="47"/>
      <c r="M948" s="47"/>
      <c r="N948" s="47"/>
      <c r="O948" s="47"/>
      <c r="P948" s="26">
        <f>SUM(D948:O948)</f>
        <v>250</v>
      </c>
    </row>
    <row r="949" spans="1:16" ht="14.1" customHeight="1" thickBot="1" x14ac:dyDescent="0.25">
      <c r="C949" s="4" t="s">
        <v>5</v>
      </c>
      <c r="D949" s="26">
        <v>62859.06</v>
      </c>
      <c r="E949" s="26">
        <v>62859.06</v>
      </c>
      <c r="F949" s="26">
        <v>62859.06</v>
      </c>
      <c r="G949" s="26">
        <v>62859.06</v>
      </c>
      <c r="H949" s="26">
        <v>62859.06</v>
      </c>
      <c r="I949" s="26">
        <v>62859.06</v>
      </c>
      <c r="J949" s="26">
        <v>62859.06</v>
      </c>
      <c r="K949" s="39">
        <v>62859.06</v>
      </c>
      <c r="L949" s="26">
        <v>62859.06</v>
      </c>
      <c r="M949" s="26">
        <v>62859.06</v>
      </c>
      <c r="N949" s="26">
        <v>62859.06</v>
      </c>
      <c r="O949" s="26">
        <v>62859.06</v>
      </c>
      <c r="P949" s="26">
        <f>SUM(D949:O949)</f>
        <v>754308.7200000002</v>
      </c>
    </row>
    <row r="950" spans="1:16" ht="14.1" customHeight="1" thickBot="1" x14ac:dyDescent="0.25">
      <c r="C950" s="6" t="s">
        <v>272</v>
      </c>
      <c r="D950" s="27">
        <f t="shared" ref="D950:P950" si="149">SUM(D947:D949)</f>
        <v>63109.06</v>
      </c>
      <c r="E950" s="27">
        <f t="shared" si="149"/>
        <v>62859.06</v>
      </c>
      <c r="F950" s="27">
        <f t="shared" si="149"/>
        <v>62859.06</v>
      </c>
      <c r="G950" s="27">
        <f t="shared" si="149"/>
        <v>62859.06</v>
      </c>
      <c r="H950" s="27">
        <f t="shared" si="149"/>
        <v>62859.06</v>
      </c>
      <c r="I950" s="27">
        <f t="shared" si="149"/>
        <v>62859.06</v>
      </c>
      <c r="J950" s="27">
        <f t="shared" si="149"/>
        <v>62859.06</v>
      </c>
      <c r="K950" s="40">
        <f t="shared" si="149"/>
        <v>62859.06</v>
      </c>
      <c r="L950" s="27">
        <f t="shared" si="149"/>
        <v>62859.06</v>
      </c>
      <c r="M950" s="27">
        <f t="shared" si="149"/>
        <v>62859.06</v>
      </c>
      <c r="N950" s="27">
        <f t="shared" si="149"/>
        <v>62859.06</v>
      </c>
      <c r="O950" s="27">
        <f t="shared" si="149"/>
        <v>62859.06</v>
      </c>
      <c r="P950" s="27">
        <f t="shared" si="149"/>
        <v>754558.7200000002</v>
      </c>
    </row>
    <row r="951" spans="1:16" ht="14.1" customHeight="1" x14ac:dyDescent="0.2">
      <c r="C951" s="12"/>
    </row>
    <row r="952" spans="1:16" ht="14.1" customHeight="1" x14ac:dyDescent="0.25">
      <c r="A952" s="1">
        <f>A946+1</f>
        <v>83</v>
      </c>
      <c r="B952" s="21"/>
      <c r="C952" s="5" t="s">
        <v>285</v>
      </c>
    </row>
    <row r="953" spans="1:16" ht="14.1" customHeight="1" x14ac:dyDescent="0.2">
      <c r="C953" s="4" t="s">
        <v>3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39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f>SUM(D953:O953)</f>
        <v>0</v>
      </c>
    </row>
    <row r="954" spans="1:16" ht="14.1" customHeight="1" x14ac:dyDescent="0.2">
      <c r="C954" s="4" t="s">
        <v>4</v>
      </c>
      <c r="D954" s="47">
        <v>250</v>
      </c>
      <c r="E954" s="47"/>
      <c r="F954" s="47"/>
      <c r="G954" s="47"/>
      <c r="H954" s="47"/>
      <c r="I954" s="47"/>
      <c r="J954" s="47"/>
      <c r="K954" s="55"/>
      <c r="L954" s="47"/>
      <c r="M954" s="47"/>
      <c r="N954" s="47"/>
      <c r="O954" s="47"/>
      <c r="P954" s="26">
        <f>SUM(D954:O954)</f>
        <v>250</v>
      </c>
    </row>
    <row r="955" spans="1:16" ht="14.1" customHeight="1" thickBot="1" x14ac:dyDescent="0.25">
      <c r="C955" s="4" t="s">
        <v>5</v>
      </c>
      <c r="D955" s="47">
        <f>6730.88+13039.16</f>
        <v>19770.04</v>
      </c>
      <c r="E955" s="47">
        <f>6751.16+13018.88</f>
        <v>19770.04</v>
      </c>
      <c r="F955" s="47">
        <f>7190.83+12579.21</f>
        <v>19770.04</v>
      </c>
      <c r="G955" s="47">
        <f>6793.18+12976.86</f>
        <v>19770.04</v>
      </c>
      <c r="H955" s="47">
        <f>7231.61+12538.43</f>
        <v>19770.04</v>
      </c>
      <c r="I955" s="47">
        <f>6835.45+12934.59</f>
        <v>19770.04</v>
      </c>
      <c r="J955" s="47">
        <f>6856.06+12913.98</f>
        <v>19770.04</v>
      </c>
      <c r="K955" s="55">
        <f>8124.46+11645.58</f>
        <v>19770.04</v>
      </c>
      <c r="L955" s="47">
        <f>6901.21+12868.83</f>
        <v>19770.04</v>
      </c>
      <c r="M955" s="47">
        <f>7336.46+12433.58</f>
        <v>19770.04</v>
      </c>
      <c r="N955" s="47">
        <f>6944.11+12825.93</f>
        <v>19770.04</v>
      </c>
      <c r="O955" s="47">
        <f>7378.11+12391.93</f>
        <v>19770.04</v>
      </c>
      <c r="P955" s="26">
        <f>SUM(D955:O955)</f>
        <v>237240.48000000007</v>
      </c>
    </row>
    <row r="956" spans="1:16" ht="14.1" customHeight="1" thickBot="1" x14ac:dyDescent="0.25">
      <c r="C956" s="6" t="s">
        <v>71</v>
      </c>
      <c r="D956" s="27">
        <f t="shared" ref="D956:P956" si="150">SUM(D953:D955)</f>
        <v>20020.04</v>
      </c>
      <c r="E956" s="27">
        <f t="shared" si="150"/>
        <v>19770.04</v>
      </c>
      <c r="F956" s="27">
        <f t="shared" si="150"/>
        <v>19770.04</v>
      </c>
      <c r="G956" s="27">
        <f t="shared" si="150"/>
        <v>19770.04</v>
      </c>
      <c r="H956" s="27">
        <f t="shared" si="150"/>
        <v>19770.04</v>
      </c>
      <c r="I956" s="27">
        <f t="shared" si="150"/>
        <v>19770.04</v>
      </c>
      <c r="J956" s="27">
        <f t="shared" si="150"/>
        <v>19770.04</v>
      </c>
      <c r="K956" s="40">
        <f t="shared" si="150"/>
        <v>19770.04</v>
      </c>
      <c r="L956" s="27">
        <f t="shared" si="150"/>
        <v>19770.04</v>
      </c>
      <c r="M956" s="27">
        <f t="shared" si="150"/>
        <v>19770.04</v>
      </c>
      <c r="N956" s="27">
        <f t="shared" si="150"/>
        <v>19770.04</v>
      </c>
      <c r="O956" s="27">
        <f t="shared" si="150"/>
        <v>19770.04</v>
      </c>
      <c r="P956" s="27">
        <f t="shared" si="150"/>
        <v>237490.48000000007</v>
      </c>
    </row>
    <row r="957" spans="1:16" ht="14.1" customHeight="1" x14ac:dyDescent="0.2">
      <c r="C957" s="12"/>
    </row>
    <row r="958" spans="1:16" ht="14.1" customHeight="1" x14ac:dyDescent="0.25">
      <c r="A958" s="1">
        <f>A952+1</f>
        <v>84</v>
      </c>
      <c r="B958" s="21"/>
      <c r="C958" s="5" t="s">
        <v>286</v>
      </c>
    </row>
    <row r="959" spans="1:16" ht="14.1" customHeight="1" x14ac:dyDescent="0.2">
      <c r="C959" s="4" t="s">
        <v>3</v>
      </c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39">
        <v>0</v>
      </c>
      <c r="L959" s="26">
        <v>0</v>
      </c>
      <c r="M959" s="26">
        <v>0</v>
      </c>
      <c r="N959" s="26">
        <v>0</v>
      </c>
      <c r="O959" s="26">
        <v>0</v>
      </c>
      <c r="P959" s="26">
        <f>SUM(D959:O959)</f>
        <v>0</v>
      </c>
    </row>
    <row r="960" spans="1:16" ht="14.1" customHeight="1" x14ac:dyDescent="0.2">
      <c r="C960" s="4" t="s">
        <v>4</v>
      </c>
      <c r="D960" s="47">
        <v>250</v>
      </c>
      <c r="E960" s="47"/>
      <c r="F960" s="47"/>
      <c r="G960" s="47"/>
      <c r="H960" s="47"/>
      <c r="I960" s="47"/>
      <c r="J960" s="47"/>
      <c r="K960" s="55"/>
      <c r="L960" s="47"/>
      <c r="M960" s="47"/>
      <c r="N960" s="47"/>
      <c r="O960" s="47"/>
      <c r="P960" s="26">
        <f>SUM(D960:O960)</f>
        <v>250</v>
      </c>
    </row>
    <row r="961" spans="1:16" ht="14.1" customHeight="1" thickBot="1" x14ac:dyDescent="0.25">
      <c r="C961" s="4" t="s">
        <v>5</v>
      </c>
      <c r="D961" s="26">
        <v>74533.38</v>
      </c>
      <c r="E961" s="26">
        <v>74533.38</v>
      </c>
      <c r="F961" s="26">
        <v>74533.38</v>
      </c>
      <c r="G961" s="26">
        <v>74533.38</v>
      </c>
      <c r="H961" s="26">
        <v>74533.38</v>
      </c>
      <c r="I961" s="26">
        <v>74533.38</v>
      </c>
      <c r="J961" s="26">
        <v>74533.38</v>
      </c>
      <c r="K961" s="39">
        <v>74533.38</v>
      </c>
      <c r="L961" s="47">
        <v>101161.88</v>
      </c>
      <c r="M961" s="47">
        <v>94954.17</v>
      </c>
      <c r="N961" s="47">
        <v>94954.17</v>
      </c>
      <c r="O961" s="47">
        <v>94954.17</v>
      </c>
      <c r="P961" s="26">
        <f>SUM(D961:O961)</f>
        <v>982291.43000000017</v>
      </c>
    </row>
    <row r="962" spans="1:16" ht="14.1" customHeight="1" thickBot="1" x14ac:dyDescent="0.25">
      <c r="C962" s="6" t="s">
        <v>287</v>
      </c>
      <c r="D962" s="27">
        <f t="shared" ref="D962:P962" si="151">SUM(D959:D961)</f>
        <v>74783.38</v>
      </c>
      <c r="E962" s="27">
        <f t="shared" si="151"/>
        <v>74533.38</v>
      </c>
      <c r="F962" s="27">
        <f t="shared" si="151"/>
        <v>74533.38</v>
      </c>
      <c r="G962" s="27">
        <f t="shared" si="151"/>
        <v>74533.38</v>
      </c>
      <c r="H962" s="27">
        <f t="shared" si="151"/>
        <v>74533.38</v>
      </c>
      <c r="I962" s="27">
        <f t="shared" si="151"/>
        <v>74533.38</v>
      </c>
      <c r="J962" s="27">
        <f t="shared" si="151"/>
        <v>74533.38</v>
      </c>
      <c r="K962" s="40">
        <f t="shared" si="151"/>
        <v>74533.38</v>
      </c>
      <c r="L962" s="27">
        <f t="shared" si="151"/>
        <v>101161.88</v>
      </c>
      <c r="M962" s="27">
        <f t="shared" si="151"/>
        <v>94954.17</v>
      </c>
      <c r="N962" s="27">
        <f t="shared" si="151"/>
        <v>94954.17</v>
      </c>
      <c r="O962" s="27">
        <f t="shared" si="151"/>
        <v>94954.17</v>
      </c>
      <c r="P962" s="27">
        <f t="shared" si="151"/>
        <v>982541.43000000017</v>
      </c>
    </row>
    <row r="963" spans="1:16" ht="14.1" customHeight="1" x14ac:dyDescent="0.2">
      <c r="C963" s="12"/>
    </row>
    <row r="964" spans="1:16" ht="14.1" customHeight="1" x14ac:dyDescent="0.25">
      <c r="A964" s="1">
        <f>A958+1</f>
        <v>85</v>
      </c>
      <c r="B964" s="21"/>
      <c r="C964" s="5" t="s">
        <v>288</v>
      </c>
    </row>
    <row r="965" spans="1:16" ht="14.1" customHeight="1" x14ac:dyDescent="0.2">
      <c r="C965" s="4" t="s">
        <v>3</v>
      </c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39">
        <v>0</v>
      </c>
      <c r="L965" s="26">
        <v>0</v>
      </c>
      <c r="M965" s="26">
        <v>0</v>
      </c>
      <c r="N965" s="26">
        <v>0</v>
      </c>
      <c r="O965" s="26">
        <v>0</v>
      </c>
      <c r="P965" s="26">
        <f>SUM(D965:O965)</f>
        <v>0</v>
      </c>
    </row>
    <row r="966" spans="1:16" ht="14.1" customHeight="1" x14ac:dyDescent="0.2">
      <c r="C966" s="4" t="s">
        <v>4</v>
      </c>
      <c r="D966" s="47">
        <v>250</v>
      </c>
      <c r="P966" s="26">
        <f>SUM(D966:O966)</f>
        <v>250</v>
      </c>
    </row>
    <row r="967" spans="1:16" ht="14.1" customHeight="1" thickBot="1" x14ac:dyDescent="0.25">
      <c r="C967" s="4" t="s">
        <v>5</v>
      </c>
      <c r="D967" s="49">
        <v>20717.150000000001</v>
      </c>
      <c r="E967" s="49">
        <v>23304.65</v>
      </c>
      <c r="F967" s="49">
        <v>25892.15</v>
      </c>
      <c r="G967" s="49">
        <v>28479.65</v>
      </c>
      <c r="H967" s="47">
        <v>29983.86</v>
      </c>
      <c r="I967" s="47">
        <v>30540.2</v>
      </c>
      <c r="J967" s="47">
        <v>31096.54</v>
      </c>
      <c r="K967" s="55">
        <v>37427.879999999997</v>
      </c>
      <c r="L967" s="47">
        <v>53681.8</v>
      </c>
      <c r="M967" s="47">
        <v>54435.3</v>
      </c>
      <c r="N967" s="47">
        <v>54360.959999999999</v>
      </c>
      <c r="O967" s="47">
        <v>54286.62</v>
      </c>
      <c r="P967" s="26">
        <f>SUM(D967:O967)</f>
        <v>444206.76</v>
      </c>
    </row>
    <row r="968" spans="1:16" ht="14.1" customHeight="1" thickBot="1" x14ac:dyDescent="0.25">
      <c r="C968" s="6" t="s">
        <v>289</v>
      </c>
      <c r="D968" s="27">
        <f t="shared" ref="D968:P968" si="152">SUM(D965:D967)</f>
        <v>20967.150000000001</v>
      </c>
      <c r="E968" s="27">
        <f t="shared" si="152"/>
        <v>23304.65</v>
      </c>
      <c r="F968" s="27">
        <f t="shared" si="152"/>
        <v>25892.15</v>
      </c>
      <c r="G968" s="27">
        <f t="shared" si="152"/>
        <v>28479.65</v>
      </c>
      <c r="H968" s="27">
        <f t="shared" si="152"/>
        <v>29983.86</v>
      </c>
      <c r="I968" s="27">
        <f t="shared" si="152"/>
        <v>30540.2</v>
      </c>
      <c r="J968" s="27">
        <f t="shared" si="152"/>
        <v>31096.54</v>
      </c>
      <c r="K968" s="40">
        <f t="shared" si="152"/>
        <v>37427.879999999997</v>
      </c>
      <c r="L968" s="27">
        <f t="shared" si="152"/>
        <v>53681.8</v>
      </c>
      <c r="M968" s="27">
        <f t="shared" si="152"/>
        <v>54435.3</v>
      </c>
      <c r="N968" s="27">
        <f t="shared" si="152"/>
        <v>54360.959999999999</v>
      </c>
      <c r="O968" s="27">
        <f t="shared" si="152"/>
        <v>54286.62</v>
      </c>
      <c r="P968" s="27">
        <f t="shared" si="152"/>
        <v>444456.76</v>
      </c>
    </row>
    <row r="969" spans="1:16" ht="14.1" customHeight="1" x14ac:dyDescent="0.2">
      <c r="C969" s="12"/>
    </row>
    <row r="970" spans="1:16" ht="14.1" customHeight="1" x14ac:dyDescent="0.25">
      <c r="A970" s="1">
        <f>A964+1</f>
        <v>86</v>
      </c>
      <c r="B970" s="21"/>
      <c r="C970" s="5" t="s">
        <v>290</v>
      </c>
    </row>
    <row r="971" spans="1:16" ht="14.1" customHeight="1" x14ac:dyDescent="0.2">
      <c r="C971" s="4" t="s">
        <v>3</v>
      </c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39">
        <v>0</v>
      </c>
      <c r="L971" s="26">
        <v>0</v>
      </c>
      <c r="M971" s="26">
        <v>0</v>
      </c>
      <c r="N971" s="26">
        <v>0</v>
      </c>
      <c r="O971" s="26">
        <v>0</v>
      </c>
      <c r="P971" s="26">
        <f>SUM(D971:O971)</f>
        <v>0</v>
      </c>
    </row>
    <row r="972" spans="1:16" ht="14.1" customHeight="1" x14ac:dyDescent="0.2">
      <c r="C972" s="4" t="s">
        <v>4</v>
      </c>
      <c r="D972" s="47">
        <v>250</v>
      </c>
      <c r="P972" s="26">
        <f>SUM(D972:O972)</f>
        <v>250</v>
      </c>
    </row>
    <row r="973" spans="1:16" ht="14.1" customHeight="1" thickBot="1" x14ac:dyDescent="0.25">
      <c r="C973" s="4" t="s">
        <v>5</v>
      </c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47">
        <v>104333.33</v>
      </c>
      <c r="J973" s="47">
        <v>104333.33</v>
      </c>
      <c r="K973" s="55">
        <v>104333.33</v>
      </c>
      <c r="L973" s="47">
        <v>104333.33</v>
      </c>
      <c r="M973" s="47">
        <v>104333.33</v>
      </c>
      <c r="N973" s="47">
        <v>104333.35</v>
      </c>
      <c r="O973" s="47">
        <v>58007.81</v>
      </c>
      <c r="P973" s="26">
        <f>SUM(D973:O973)</f>
        <v>684007.81</v>
      </c>
    </row>
    <row r="974" spans="1:16" ht="14.1" customHeight="1" thickBot="1" x14ac:dyDescent="0.25">
      <c r="C974" s="6" t="s">
        <v>107</v>
      </c>
      <c r="D974" s="27">
        <f t="shared" ref="D974:P974" si="153">SUM(D971:D973)</f>
        <v>250</v>
      </c>
      <c r="E974" s="27">
        <f t="shared" si="153"/>
        <v>0</v>
      </c>
      <c r="F974" s="27">
        <f t="shared" si="153"/>
        <v>0</v>
      </c>
      <c r="G974" s="27">
        <f t="shared" si="153"/>
        <v>0</v>
      </c>
      <c r="H974" s="27">
        <f t="shared" si="153"/>
        <v>0</v>
      </c>
      <c r="I974" s="27">
        <f t="shared" si="153"/>
        <v>104333.33</v>
      </c>
      <c r="J974" s="27">
        <f t="shared" si="153"/>
        <v>104333.33</v>
      </c>
      <c r="K974" s="40">
        <f t="shared" si="153"/>
        <v>104333.33</v>
      </c>
      <c r="L974" s="27">
        <f t="shared" si="153"/>
        <v>104333.33</v>
      </c>
      <c r="M974" s="27">
        <f t="shared" si="153"/>
        <v>104333.33</v>
      </c>
      <c r="N974" s="27">
        <f t="shared" si="153"/>
        <v>104333.35</v>
      </c>
      <c r="O974" s="27">
        <f t="shared" si="153"/>
        <v>58007.81</v>
      </c>
      <c r="P974" s="27">
        <f t="shared" si="153"/>
        <v>684257.81</v>
      </c>
    </row>
    <row r="975" spans="1:16" ht="14.1" customHeight="1" x14ac:dyDescent="0.2">
      <c r="C975" s="12"/>
    </row>
    <row r="976" spans="1:16" ht="14.1" customHeight="1" x14ac:dyDescent="0.25">
      <c r="A976" s="1">
        <f>A970+1</f>
        <v>87</v>
      </c>
      <c r="B976" s="21"/>
      <c r="C976" s="5" t="s">
        <v>291</v>
      </c>
    </row>
    <row r="977" spans="1:16" ht="14.1" customHeight="1" x14ac:dyDescent="0.2">
      <c r="C977" s="4" t="s">
        <v>3</v>
      </c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39">
        <v>0</v>
      </c>
      <c r="L977" s="26">
        <v>0</v>
      </c>
      <c r="M977" s="26">
        <v>0</v>
      </c>
      <c r="N977" s="26">
        <v>0</v>
      </c>
      <c r="O977" s="26">
        <v>0</v>
      </c>
      <c r="P977" s="26">
        <f>SUM(D977:O977)</f>
        <v>0</v>
      </c>
    </row>
    <row r="978" spans="1:16" ht="14.1" customHeight="1" x14ac:dyDescent="0.2">
      <c r="C978" s="4" t="s">
        <v>4</v>
      </c>
      <c r="D978" s="47">
        <v>250</v>
      </c>
      <c r="P978" s="26">
        <f>SUM(D978:O978)</f>
        <v>250</v>
      </c>
    </row>
    <row r="979" spans="1:16" ht="14.1" customHeight="1" thickBot="1" x14ac:dyDescent="0.25">
      <c r="C979" s="4" t="s">
        <v>5</v>
      </c>
      <c r="D979" s="26">
        <v>52580.5</v>
      </c>
      <c r="E979" s="26">
        <v>52580.5</v>
      </c>
      <c r="F979" s="26">
        <v>52580.5</v>
      </c>
      <c r="G979" s="26">
        <v>52580.5</v>
      </c>
      <c r="H979" s="26">
        <v>52580.5</v>
      </c>
      <c r="I979" s="47">
        <v>54595.83</v>
      </c>
      <c r="J979" s="47">
        <v>54595.83</v>
      </c>
      <c r="K979" s="55">
        <v>54595.83</v>
      </c>
      <c r="L979" s="47">
        <v>54595.83</v>
      </c>
      <c r="M979" s="47">
        <v>54595.83</v>
      </c>
      <c r="N979" s="47">
        <v>54595.83</v>
      </c>
      <c r="O979" s="47">
        <v>54595.83</v>
      </c>
      <c r="P979" s="26">
        <f>SUM(D979:O979)</f>
        <v>645073.30999999994</v>
      </c>
    </row>
    <row r="980" spans="1:16" ht="14.1" customHeight="1" thickBot="1" x14ac:dyDescent="0.25">
      <c r="C980" s="6" t="s">
        <v>147</v>
      </c>
      <c r="D980" s="27">
        <f t="shared" ref="D980:P980" si="154">SUM(D977:D979)</f>
        <v>52830.5</v>
      </c>
      <c r="E980" s="27">
        <f t="shared" si="154"/>
        <v>52580.5</v>
      </c>
      <c r="F980" s="27">
        <f t="shared" si="154"/>
        <v>52580.5</v>
      </c>
      <c r="G980" s="27">
        <f t="shared" si="154"/>
        <v>52580.5</v>
      </c>
      <c r="H980" s="27">
        <f t="shared" si="154"/>
        <v>52580.5</v>
      </c>
      <c r="I980" s="27">
        <f t="shared" si="154"/>
        <v>54595.83</v>
      </c>
      <c r="J980" s="27">
        <f t="shared" si="154"/>
        <v>54595.83</v>
      </c>
      <c r="K980" s="40">
        <f t="shared" si="154"/>
        <v>54595.83</v>
      </c>
      <c r="L980" s="27">
        <f t="shared" si="154"/>
        <v>54595.83</v>
      </c>
      <c r="M980" s="27">
        <f t="shared" si="154"/>
        <v>54595.83</v>
      </c>
      <c r="N980" s="27">
        <f t="shared" si="154"/>
        <v>54595.83</v>
      </c>
      <c r="O980" s="27">
        <f t="shared" si="154"/>
        <v>54595.83</v>
      </c>
      <c r="P980" s="27">
        <f t="shared" si="154"/>
        <v>645323.30999999994</v>
      </c>
    </row>
    <row r="981" spans="1:16" ht="14.1" customHeight="1" x14ac:dyDescent="0.2">
      <c r="C981" s="12"/>
    </row>
    <row r="982" spans="1:16" ht="14.1" customHeight="1" x14ac:dyDescent="0.25">
      <c r="A982" s="1">
        <f>A976+1</f>
        <v>88</v>
      </c>
      <c r="B982" s="21"/>
      <c r="C982" s="5" t="s">
        <v>293</v>
      </c>
    </row>
    <row r="983" spans="1:16" ht="14.1" customHeight="1" x14ac:dyDescent="0.2">
      <c r="C983" s="4" t="s">
        <v>3</v>
      </c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39">
        <v>0</v>
      </c>
      <c r="L983" s="26">
        <v>0</v>
      </c>
      <c r="M983" s="26">
        <v>0</v>
      </c>
      <c r="N983" s="26">
        <v>0</v>
      </c>
      <c r="O983" s="26">
        <v>0</v>
      </c>
      <c r="P983" s="26">
        <f>SUM(D983:O983)</f>
        <v>0</v>
      </c>
    </row>
    <row r="984" spans="1:16" ht="14.1" customHeight="1" x14ac:dyDescent="0.2">
      <c r="C984" s="4" t="s">
        <v>4</v>
      </c>
      <c r="D984" s="47"/>
      <c r="E984" s="47">
        <v>229.17</v>
      </c>
      <c r="P984" s="26">
        <f>SUM(D984:O984)</f>
        <v>229.17</v>
      </c>
    </row>
    <row r="985" spans="1:16" ht="14.1" customHeight="1" thickBot="1" x14ac:dyDescent="0.25">
      <c r="C985" s="4" t="s">
        <v>5</v>
      </c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39">
        <v>0</v>
      </c>
      <c r="L985" s="26">
        <v>0</v>
      </c>
      <c r="M985" s="26">
        <v>0</v>
      </c>
      <c r="N985" s="26">
        <v>0</v>
      </c>
      <c r="O985" s="26">
        <v>0</v>
      </c>
      <c r="P985" s="26">
        <f>SUM(D985:O985)</f>
        <v>0</v>
      </c>
    </row>
    <row r="986" spans="1:16" ht="14.1" customHeight="1" thickBot="1" x14ac:dyDescent="0.25">
      <c r="C986" s="6" t="s">
        <v>294</v>
      </c>
      <c r="D986" s="27">
        <f t="shared" ref="D986:P986" si="155">SUM(D983:D985)</f>
        <v>0</v>
      </c>
      <c r="E986" s="27">
        <f t="shared" si="155"/>
        <v>229.17</v>
      </c>
      <c r="F986" s="27">
        <f t="shared" si="155"/>
        <v>0</v>
      </c>
      <c r="G986" s="27">
        <f t="shared" si="155"/>
        <v>0</v>
      </c>
      <c r="H986" s="27">
        <f t="shared" si="155"/>
        <v>0</v>
      </c>
      <c r="I986" s="27">
        <f t="shared" si="155"/>
        <v>0</v>
      </c>
      <c r="J986" s="27">
        <f t="shared" si="155"/>
        <v>0</v>
      </c>
      <c r="K986" s="40">
        <f t="shared" si="155"/>
        <v>0</v>
      </c>
      <c r="L986" s="27">
        <f t="shared" si="155"/>
        <v>0</v>
      </c>
      <c r="M986" s="27">
        <f t="shared" si="155"/>
        <v>0</v>
      </c>
      <c r="N986" s="27">
        <f t="shared" si="155"/>
        <v>0</v>
      </c>
      <c r="O986" s="27">
        <f t="shared" si="155"/>
        <v>0</v>
      </c>
      <c r="P986" s="27">
        <f t="shared" si="155"/>
        <v>229.17</v>
      </c>
    </row>
    <row r="987" spans="1:16" ht="14.1" customHeight="1" x14ac:dyDescent="0.2">
      <c r="C987" s="12"/>
    </row>
    <row r="988" spans="1:16" ht="14.1" customHeight="1" x14ac:dyDescent="0.25">
      <c r="A988" s="1">
        <f>A982+1</f>
        <v>89</v>
      </c>
      <c r="B988" s="21"/>
      <c r="C988" s="5" t="s">
        <v>295</v>
      </c>
    </row>
    <row r="989" spans="1:16" ht="14.1" customHeight="1" x14ac:dyDescent="0.2">
      <c r="C989" s="4" t="s">
        <v>3</v>
      </c>
      <c r="D989" s="26">
        <v>0</v>
      </c>
      <c r="E989" s="26">
        <v>3707.27</v>
      </c>
      <c r="F989" s="26">
        <v>3707.27</v>
      </c>
      <c r="G989" s="26">
        <v>3707.27</v>
      </c>
      <c r="H989" s="26">
        <v>3707.27</v>
      </c>
      <c r="I989" s="26">
        <v>3707.27</v>
      </c>
      <c r="J989" s="26">
        <v>3707.27</v>
      </c>
      <c r="K989" s="39">
        <v>3707.27</v>
      </c>
      <c r="L989" s="26">
        <v>3707.27</v>
      </c>
      <c r="M989" s="26">
        <v>3707.27</v>
      </c>
      <c r="N989" s="26">
        <v>3707.27</v>
      </c>
      <c r="O989" s="26">
        <v>3707.27</v>
      </c>
      <c r="P989" s="26">
        <f>SUM(D989:O989)</f>
        <v>40779.969999999994</v>
      </c>
    </row>
    <row r="990" spans="1:16" ht="14.1" customHeight="1" x14ac:dyDescent="0.2">
      <c r="C990" s="4" t="s">
        <v>4</v>
      </c>
      <c r="D990" s="47"/>
      <c r="E990" s="47">
        <v>229.17</v>
      </c>
      <c r="P990" s="26">
        <f>SUM(D990:O990)</f>
        <v>229.17</v>
      </c>
    </row>
    <row r="991" spans="1:16" ht="13.5" customHeight="1" thickBot="1" x14ac:dyDescent="0.25">
      <c r="C991" s="4" t="s">
        <v>5</v>
      </c>
      <c r="D991" s="26">
        <v>0</v>
      </c>
      <c r="E991" s="26">
        <f>48750+170685.99</f>
        <v>219435.99</v>
      </c>
      <c r="F991" s="26">
        <f>48750+170685.99</f>
        <v>219435.99</v>
      </c>
      <c r="G991" s="26">
        <f>48750+170685.99</f>
        <v>219435.99</v>
      </c>
      <c r="H991" s="26">
        <f>48750+170685.99</f>
        <v>219435.99</v>
      </c>
      <c r="I991" s="26">
        <f>31666.67+152325</f>
        <v>183991.66999999998</v>
      </c>
      <c r="J991" s="26">
        <f t="shared" ref="J991:O991" si="156">31666.67+152325</f>
        <v>183991.66999999998</v>
      </c>
      <c r="K991" s="39">
        <f t="shared" si="156"/>
        <v>183991.66999999998</v>
      </c>
      <c r="L991" s="26">
        <f t="shared" si="156"/>
        <v>183991.66999999998</v>
      </c>
      <c r="M991" s="26">
        <f t="shared" si="156"/>
        <v>183991.66999999998</v>
      </c>
      <c r="N991" s="26">
        <f t="shared" si="156"/>
        <v>183991.66999999998</v>
      </c>
      <c r="O991" s="26">
        <f t="shared" si="156"/>
        <v>183991.66999999998</v>
      </c>
      <c r="P991" s="26">
        <f>SUM(D991:O991)</f>
        <v>2165685.6499999994</v>
      </c>
    </row>
    <row r="992" spans="1:16" ht="14.1" customHeight="1" thickBot="1" x14ac:dyDescent="0.25">
      <c r="C992" s="6" t="s">
        <v>52</v>
      </c>
      <c r="D992" s="27">
        <f t="shared" ref="D992:P992" si="157">SUM(D989:D991)</f>
        <v>0</v>
      </c>
      <c r="E992" s="27">
        <f t="shared" si="157"/>
        <v>223372.43</v>
      </c>
      <c r="F992" s="27">
        <f t="shared" si="157"/>
        <v>223143.25999999998</v>
      </c>
      <c r="G992" s="27">
        <f t="shared" si="157"/>
        <v>223143.25999999998</v>
      </c>
      <c r="H992" s="27">
        <f t="shared" si="157"/>
        <v>223143.25999999998</v>
      </c>
      <c r="I992" s="27">
        <f t="shared" si="157"/>
        <v>187698.93999999997</v>
      </c>
      <c r="J992" s="27">
        <f t="shared" si="157"/>
        <v>187698.93999999997</v>
      </c>
      <c r="K992" s="40">
        <f t="shared" si="157"/>
        <v>187698.93999999997</v>
      </c>
      <c r="L992" s="27">
        <f t="shared" si="157"/>
        <v>187698.93999999997</v>
      </c>
      <c r="M992" s="27">
        <f t="shared" si="157"/>
        <v>187698.93999999997</v>
      </c>
      <c r="N992" s="27">
        <f t="shared" si="157"/>
        <v>187698.93999999997</v>
      </c>
      <c r="O992" s="27">
        <f t="shared" si="157"/>
        <v>187698.93999999997</v>
      </c>
      <c r="P992" s="27">
        <f t="shared" si="157"/>
        <v>2206694.7899999996</v>
      </c>
    </row>
    <row r="993" spans="1:16" ht="14.1" customHeight="1" x14ac:dyDescent="0.2">
      <c r="C993" s="12"/>
    </row>
    <row r="994" spans="1:16" ht="14.1" customHeight="1" x14ac:dyDescent="0.25">
      <c r="A994" s="1">
        <f>A988+1</f>
        <v>90</v>
      </c>
      <c r="B994" s="21"/>
      <c r="C994" s="5" t="s">
        <v>296</v>
      </c>
    </row>
    <row r="995" spans="1:16" ht="14.1" customHeight="1" x14ac:dyDescent="0.2">
      <c r="C995" s="4" t="s">
        <v>3</v>
      </c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39">
        <v>0</v>
      </c>
      <c r="L995" s="26">
        <v>0</v>
      </c>
      <c r="M995" s="26">
        <v>0</v>
      </c>
      <c r="N995" s="26">
        <v>0</v>
      </c>
      <c r="O995" s="26">
        <v>0</v>
      </c>
      <c r="P995" s="26">
        <f>SUM(D995:O995)</f>
        <v>0</v>
      </c>
    </row>
    <row r="996" spans="1:16" ht="14.1" customHeight="1" x14ac:dyDescent="0.2">
      <c r="C996" s="4" t="s">
        <v>4</v>
      </c>
      <c r="D996" s="47"/>
      <c r="E996" s="47"/>
      <c r="F996" s="47"/>
      <c r="G996" s="47">
        <v>187.5</v>
      </c>
      <c r="H996" s="47"/>
      <c r="I996" s="47"/>
      <c r="J996" s="47"/>
      <c r="K996" s="55"/>
      <c r="L996" s="47"/>
      <c r="M996" s="47"/>
      <c r="N996" s="47"/>
      <c r="O996" s="47"/>
      <c r="P996" s="26">
        <f>SUM(D996:O996)</f>
        <v>187.5</v>
      </c>
    </row>
    <row r="997" spans="1:16" ht="14.1" customHeight="1" thickBot="1" x14ac:dyDescent="0.25">
      <c r="C997" s="4" t="s">
        <v>5</v>
      </c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39">
        <v>0</v>
      </c>
      <c r="L997" s="26">
        <v>0</v>
      </c>
      <c r="M997" s="26">
        <v>0</v>
      </c>
      <c r="N997" s="26">
        <v>0</v>
      </c>
      <c r="O997" s="26">
        <v>0</v>
      </c>
      <c r="P997" s="26">
        <f>SUM(D997:O997)</f>
        <v>0</v>
      </c>
    </row>
    <row r="998" spans="1:16" ht="14.1" customHeight="1" thickBot="1" x14ac:dyDescent="0.25">
      <c r="C998" s="6" t="s">
        <v>297</v>
      </c>
      <c r="D998" s="27">
        <f t="shared" ref="D998:P998" si="158">SUM(D995:D997)</f>
        <v>0</v>
      </c>
      <c r="E998" s="27">
        <f t="shared" si="158"/>
        <v>0</v>
      </c>
      <c r="F998" s="27">
        <f t="shared" si="158"/>
        <v>0</v>
      </c>
      <c r="G998" s="27">
        <f t="shared" si="158"/>
        <v>187.5</v>
      </c>
      <c r="H998" s="27">
        <f t="shared" si="158"/>
        <v>0</v>
      </c>
      <c r="I998" s="27">
        <f t="shared" si="158"/>
        <v>0</v>
      </c>
      <c r="J998" s="27">
        <f t="shared" si="158"/>
        <v>0</v>
      </c>
      <c r="K998" s="40">
        <f t="shared" si="158"/>
        <v>0</v>
      </c>
      <c r="L998" s="27">
        <f t="shared" si="158"/>
        <v>0</v>
      </c>
      <c r="M998" s="27">
        <f t="shared" si="158"/>
        <v>0</v>
      </c>
      <c r="N998" s="27">
        <f t="shared" si="158"/>
        <v>0</v>
      </c>
      <c r="O998" s="27">
        <f t="shared" si="158"/>
        <v>0</v>
      </c>
      <c r="P998" s="27">
        <f t="shared" si="158"/>
        <v>187.5</v>
      </c>
    </row>
    <row r="999" spans="1:16" ht="14.1" customHeight="1" x14ac:dyDescent="0.2">
      <c r="C999" s="12"/>
    </row>
    <row r="1000" spans="1:16" ht="14.1" customHeight="1" x14ac:dyDescent="0.25">
      <c r="A1000" s="1">
        <f>A994+1</f>
        <v>91</v>
      </c>
      <c r="B1000" s="21"/>
      <c r="C1000" s="5" t="s">
        <v>298</v>
      </c>
    </row>
    <row r="1001" spans="1:16" ht="14.1" customHeight="1" x14ac:dyDescent="0.2">
      <c r="C1001" s="4" t="s">
        <v>3</v>
      </c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39">
        <v>0</v>
      </c>
      <c r="L1001" s="26">
        <v>0</v>
      </c>
      <c r="M1001" s="26">
        <v>0</v>
      </c>
      <c r="N1001" s="26">
        <v>0</v>
      </c>
      <c r="O1001" s="26">
        <v>0</v>
      </c>
      <c r="P1001" s="26">
        <f>SUM(D1001:O1001)</f>
        <v>0</v>
      </c>
    </row>
    <row r="1002" spans="1:16" ht="14.1" customHeight="1" x14ac:dyDescent="0.2">
      <c r="C1002" s="4" t="s">
        <v>4</v>
      </c>
      <c r="D1002" s="47"/>
      <c r="E1002" s="47"/>
      <c r="F1002" s="47"/>
      <c r="G1002" s="47"/>
      <c r="H1002" s="47">
        <v>166.67</v>
      </c>
      <c r="I1002" s="47"/>
      <c r="J1002" s="47"/>
      <c r="K1002" s="55"/>
      <c r="L1002" s="47"/>
      <c r="M1002" s="47"/>
      <c r="N1002" s="47"/>
      <c r="O1002" s="47"/>
      <c r="P1002" s="26">
        <f>SUM(D1002:O1002)</f>
        <v>166.67</v>
      </c>
    </row>
    <row r="1003" spans="1:16" ht="14.1" customHeight="1" thickBot="1" x14ac:dyDescent="0.25">
      <c r="C1003" s="4" t="s">
        <v>5</v>
      </c>
      <c r="D1003" s="26">
        <v>0</v>
      </c>
      <c r="E1003" s="26">
        <v>0</v>
      </c>
      <c r="F1003" s="26">
        <v>0</v>
      </c>
      <c r="G1003" s="26">
        <v>0</v>
      </c>
      <c r="H1003" s="26">
        <v>47866.96</v>
      </c>
      <c r="I1003" s="26">
        <v>33395.550000000003</v>
      </c>
      <c r="J1003" s="26">
        <v>33395.550000000003</v>
      </c>
      <c r="K1003" s="39">
        <v>33395.550000000003</v>
      </c>
      <c r="L1003" s="26">
        <v>33395.550000000003</v>
      </c>
      <c r="M1003" s="26">
        <v>33395.550000000003</v>
      </c>
      <c r="N1003" s="26">
        <v>33395.550000000003</v>
      </c>
      <c r="O1003" s="26">
        <v>33395.550000000003</v>
      </c>
      <c r="P1003" s="26">
        <f>SUM(D1003:O1003)</f>
        <v>281635.81</v>
      </c>
    </row>
    <row r="1004" spans="1:16" ht="14.1" customHeight="1" thickBot="1" x14ac:dyDescent="0.25">
      <c r="C1004" s="6" t="s">
        <v>145</v>
      </c>
      <c r="D1004" s="27">
        <f t="shared" ref="D1004:P1004" si="159">SUM(D1001:D1003)</f>
        <v>0</v>
      </c>
      <c r="E1004" s="27">
        <f t="shared" si="159"/>
        <v>0</v>
      </c>
      <c r="F1004" s="27">
        <f t="shared" si="159"/>
        <v>0</v>
      </c>
      <c r="G1004" s="27">
        <f t="shared" si="159"/>
        <v>0</v>
      </c>
      <c r="H1004" s="27">
        <f t="shared" si="159"/>
        <v>48033.63</v>
      </c>
      <c r="I1004" s="27">
        <f t="shared" si="159"/>
        <v>33395.550000000003</v>
      </c>
      <c r="J1004" s="27">
        <f t="shared" si="159"/>
        <v>33395.550000000003</v>
      </c>
      <c r="K1004" s="40">
        <f t="shared" si="159"/>
        <v>33395.550000000003</v>
      </c>
      <c r="L1004" s="27">
        <f t="shared" si="159"/>
        <v>33395.550000000003</v>
      </c>
      <c r="M1004" s="27">
        <f t="shared" si="159"/>
        <v>33395.550000000003</v>
      </c>
      <c r="N1004" s="27">
        <f t="shared" si="159"/>
        <v>33395.550000000003</v>
      </c>
      <c r="O1004" s="27">
        <f t="shared" si="159"/>
        <v>33395.550000000003</v>
      </c>
      <c r="P1004" s="27">
        <f t="shared" si="159"/>
        <v>281802.48</v>
      </c>
    </row>
    <row r="1005" spans="1:16" ht="14.1" customHeight="1" x14ac:dyDescent="0.2">
      <c r="C1005" s="12"/>
      <c r="D1005" s="46"/>
      <c r="E1005" s="46"/>
      <c r="F1005" s="46"/>
      <c r="G1005" s="46"/>
      <c r="H1005" s="46"/>
      <c r="I1005" s="46"/>
      <c r="J1005" s="46"/>
      <c r="K1005" s="54"/>
      <c r="L1005" s="46"/>
      <c r="M1005" s="46"/>
      <c r="N1005" s="46"/>
      <c r="O1005" s="46"/>
      <c r="P1005" s="46"/>
    </row>
    <row r="1006" spans="1:16" ht="14.1" customHeight="1" x14ac:dyDescent="0.25">
      <c r="A1006" s="1">
        <f>A1000+1</f>
        <v>92</v>
      </c>
      <c r="B1006" s="21"/>
      <c r="C1006" s="5" t="s">
        <v>299</v>
      </c>
      <c r="D1006" s="46"/>
      <c r="E1006" s="46"/>
      <c r="F1006" s="46"/>
      <c r="G1006" s="46"/>
      <c r="H1006" s="46"/>
      <c r="I1006" s="46"/>
      <c r="J1006" s="46"/>
      <c r="K1006" s="54"/>
      <c r="L1006" s="46"/>
      <c r="M1006" s="46"/>
      <c r="N1006" s="46"/>
      <c r="O1006" s="46"/>
      <c r="P1006" s="46"/>
    </row>
    <row r="1007" spans="1:16" ht="14.1" customHeight="1" x14ac:dyDescent="0.2">
      <c r="C1007" s="4" t="s">
        <v>3</v>
      </c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39">
        <v>0</v>
      </c>
      <c r="L1007" s="26">
        <v>0</v>
      </c>
      <c r="M1007" s="26">
        <v>0</v>
      </c>
      <c r="N1007" s="26">
        <v>0</v>
      </c>
      <c r="O1007" s="26">
        <v>0</v>
      </c>
      <c r="P1007" s="26">
        <f>SUM(D1007:O1007)</f>
        <v>0</v>
      </c>
    </row>
    <row r="1008" spans="1:16" ht="14.1" customHeight="1" x14ac:dyDescent="0.2">
      <c r="C1008" s="4" t="s">
        <v>4</v>
      </c>
      <c r="D1008" s="47"/>
      <c r="E1008" s="47"/>
      <c r="F1008" s="47"/>
      <c r="G1008" s="47"/>
      <c r="H1008" s="47">
        <v>166.67</v>
      </c>
      <c r="I1008" s="47"/>
      <c r="J1008" s="47"/>
      <c r="K1008" s="55"/>
      <c r="L1008" s="47"/>
      <c r="M1008" s="47"/>
      <c r="N1008" s="47"/>
      <c r="O1008" s="47"/>
      <c r="P1008" s="26">
        <f>SUM(D1008:O1008)</f>
        <v>166.67</v>
      </c>
    </row>
    <row r="1009" spans="1:16" ht="14.1" customHeight="1" thickBot="1" x14ac:dyDescent="0.25">
      <c r="C1009" s="4" t="s">
        <v>5</v>
      </c>
      <c r="D1009" s="26">
        <v>0</v>
      </c>
      <c r="E1009" s="26">
        <v>0</v>
      </c>
      <c r="F1009" s="26">
        <v>0</v>
      </c>
      <c r="G1009" s="26">
        <v>0</v>
      </c>
      <c r="H1009" s="26">
        <v>33982.839999999997</v>
      </c>
      <c r="I1009" s="26">
        <v>33982.839999999997</v>
      </c>
      <c r="J1009" s="26">
        <v>33982.839999999997</v>
      </c>
      <c r="K1009" s="39">
        <v>33982.839999999997</v>
      </c>
      <c r="L1009" s="26">
        <v>33982.839999999997</v>
      </c>
      <c r="M1009" s="26">
        <v>33982.839999999997</v>
      </c>
      <c r="N1009" s="26">
        <v>33982.839999999997</v>
      </c>
      <c r="O1009" s="26">
        <v>33982.839999999997</v>
      </c>
      <c r="P1009" s="26">
        <f>SUM(D1009:O1009)</f>
        <v>271862.71999999997</v>
      </c>
    </row>
    <row r="1010" spans="1:16" ht="14.1" customHeight="1" thickBot="1" x14ac:dyDescent="0.25">
      <c r="C1010" s="6" t="s">
        <v>300</v>
      </c>
      <c r="D1010" s="27">
        <f t="shared" ref="D1010:P1010" si="160">SUM(D1007:D1009)</f>
        <v>0</v>
      </c>
      <c r="E1010" s="27">
        <f t="shared" si="160"/>
        <v>0</v>
      </c>
      <c r="F1010" s="27">
        <f t="shared" si="160"/>
        <v>0</v>
      </c>
      <c r="G1010" s="27">
        <f t="shared" si="160"/>
        <v>0</v>
      </c>
      <c r="H1010" s="27">
        <f t="shared" si="160"/>
        <v>34149.509999999995</v>
      </c>
      <c r="I1010" s="27">
        <f t="shared" si="160"/>
        <v>33982.839999999997</v>
      </c>
      <c r="J1010" s="27">
        <f t="shared" si="160"/>
        <v>33982.839999999997</v>
      </c>
      <c r="K1010" s="40">
        <f t="shared" si="160"/>
        <v>33982.839999999997</v>
      </c>
      <c r="L1010" s="27">
        <f t="shared" si="160"/>
        <v>33982.839999999997</v>
      </c>
      <c r="M1010" s="27">
        <f t="shared" si="160"/>
        <v>33982.839999999997</v>
      </c>
      <c r="N1010" s="27">
        <f t="shared" si="160"/>
        <v>33982.839999999997</v>
      </c>
      <c r="O1010" s="27">
        <f t="shared" si="160"/>
        <v>33982.839999999997</v>
      </c>
      <c r="P1010" s="27">
        <f t="shared" si="160"/>
        <v>272029.38999999996</v>
      </c>
    </row>
    <row r="1011" spans="1:16" ht="14.1" customHeight="1" x14ac:dyDescent="0.2">
      <c r="C1011" s="12"/>
    </row>
    <row r="1012" spans="1:16" ht="14.1" customHeight="1" x14ac:dyDescent="0.25">
      <c r="A1012" s="1">
        <f>A1006+1</f>
        <v>93</v>
      </c>
      <c r="B1012" s="21"/>
      <c r="C1012" s="5" t="s">
        <v>301</v>
      </c>
    </row>
    <row r="1013" spans="1:16" ht="14.1" customHeight="1" x14ac:dyDescent="0.2">
      <c r="C1013" s="4" t="s">
        <v>3</v>
      </c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39">
        <v>0</v>
      </c>
      <c r="L1013" s="26">
        <v>0</v>
      </c>
      <c r="M1013" s="26">
        <v>0</v>
      </c>
      <c r="N1013" s="26">
        <v>0</v>
      </c>
      <c r="O1013" s="26">
        <v>0</v>
      </c>
      <c r="P1013" s="26">
        <f>SUM(D1013:O1013)</f>
        <v>0</v>
      </c>
    </row>
    <row r="1014" spans="1:16" ht="14.1" customHeight="1" x14ac:dyDescent="0.2">
      <c r="C1014" s="4" t="s">
        <v>4</v>
      </c>
      <c r="D1014" s="47"/>
      <c r="E1014" s="47"/>
      <c r="F1014" s="47"/>
      <c r="G1014" s="47"/>
      <c r="H1014" s="47">
        <v>166.67</v>
      </c>
      <c r="I1014" s="47"/>
      <c r="J1014" s="47"/>
      <c r="K1014" s="55"/>
      <c r="L1014" s="47"/>
      <c r="M1014" s="47"/>
      <c r="N1014" s="47"/>
      <c r="O1014" s="47"/>
      <c r="P1014" s="26">
        <f>SUM(D1014:O1014)</f>
        <v>166.67</v>
      </c>
    </row>
    <row r="1015" spans="1:16" ht="14.1" customHeight="1" thickBot="1" x14ac:dyDescent="0.25">
      <c r="C1015" s="4" t="s">
        <v>5</v>
      </c>
      <c r="D1015" s="26">
        <v>0</v>
      </c>
      <c r="E1015" s="26">
        <v>0</v>
      </c>
      <c r="F1015" s="26">
        <v>0</v>
      </c>
      <c r="G1015" s="26">
        <v>0</v>
      </c>
      <c r="H1015" s="26">
        <v>52980.58</v>
      </c>
      <c r="I1015" s="26">
        <v>85663.59</v>
      </c>
      <c r="J1015" s="26">
        <v>85557.25</v>
      </c>
      <c r="K1015" s="39">
        <v>85557.25</v>
      </c>
      <c r="L1015" s="26">
        <f>31666.67+79750</f>
        <v>111416.67</v>
      </c>
      <c r="M1015" s="26">
        <f>31666.67+79750</f>
        <v>111416.67</v>
      </c>
      <c r="N1015" s="26">
        <f>31666.66+79750.01</f>
        <v>111416.67</v>
      </c>
      <c r="O1015" s="26">
        <f>31666.67+79405.63</f>
        <v>111072.3</v>
      </c>
      <c r="P1015" s="26">
        <f>SUM(D1015:O1015)</f>
        <v>755080.9800000001</v>
      </c>
    </row>
    <row r="1016" spans="1:16" ht="14.1" customHeight="1" thickBot="1" x14ac:dyDescent="0.25">
      <c r="C1016" s="6" t="s">
        <v>143</v>
      </c>
      <c r="D1016" s="27">
        <f t="shared" ref="D1016:P1016" si="161">SUM(D1013:D1015)</f>
        <v>0</v>
      </c>
      <c r="E1016" s="27">
        <f t="shared" si="161"/>
        <v>0</v>
      </c>
      <c r="F1016" s="27">
        <f t="shared" si="161"/>
        <v>0</v>
      </c>
      <c r="G1016" s="27">
        <f t="shared" si="161"/>
        <v>0</v>
      </c>
      <c r="H1016" s="27">
        <f t="shared" si="161"/>
        <v>53147.25</v>
      </c>
      <c r="I1016" s="27">
        <f t="shared" si="161"/>
        <v>85663.59</v>
      </c>
      <c r="J1016" s="27">
        <f t="shared" si="161"/>
        <v>85557.25</v>
      </c>
      <c r="K1016" s="40">
        <f t="shared" si="161"/>
        <v>85557.25</v>
      </c>
      <c r="L1016" s="27">
        <f t="shared" si="161"/>
        <v>111416.67</v>
      </c>
      <c r="M1016" s="27">
        <f t="shared" si="161"/>
        <v>111416.67</v>
      </c>
      <c r="N1016" s="27">
        <f t="shared" si="161"/>
        <v>111416.67</v>
      </c>
      <c r="O1016" s="27">
        <f t="shared" si="161"/>
        <v>111072.3</v>
      </c>
      <c r="P1016" s="27">
        <f t="shared" si="161"/>
        <v>755247.65000000014</v>
      </c>
    </row>
    <row r="1017" spans="1:16" ht="14.1" customHeight="1" x14ac:dyDescent="0.2">
      <c r="C1017" s="12"/>
    </row>
    <row r="1018" spans="1:16" ht="14.1" customHeight="1" x14ac:dyDescent="0.25">
      <c r="A1018" s="1">
        <f>A1012+1</f>
        <v>94</v>
      </c>
      <c r="B1018" s="21"/>
      <c r="C1018" s="5" t="s">
        <v>302</v>
      </c>
    </row>
    <row r="1019" spans="1:16" ht="14.1" customHeight="1" x14ac:dyDescent="0.2">
      <c r="C1019" s="4" t="s">
        <v>3</v>
      </c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39">
        <v>0</v>
      </c>
      <c r="L1019" s="26">
        <v>0</v>
      </c>
      <c r="M1019" s="26">
        <v>0</v>
      </c>
      <c r="N1019" s="26">
        <v>0</v>
      </c>
      <c r="O1019" s="26">
        <v>0</v>
      </c>
      <c r="P1019" s="26">
        <f>SUM(D1019:O1019)</f>
        <v>0</v>
      </c>
    </row>
    <row r="1020" spans="1:16" ht="14.1" customHeight="1" x14ac:dyDescent="0.2">
      <c r="C1020" s="4" t="s">
        <v>4</v>
      </c>
      <c r="D1020" s="47"/>
      <c r="E1020" s="47"/>
      <c r="F1020" s="47"/>
      <c r="G1020" s="47"/>
      <c r="H1020" s="47"/>
      <c r="I1020" s="47"/>
      <c r="J1020" s="47">
        <v>125</v>
      </c>
      <c r="K1020" s="55"/>
      <c r="L1020" s="47"/>
      <c r="M1020" s="47"/>
      <c r="N1020" s="47"/>
      <c r="O1020" s="47"/>
      <c r="P1020" s="26">
        <f>SUM(D1020:O1020)</f>
        <v>125</v>
      </c>
    </row>
    <row r="1021" spans="1:16" ht="14.1" customHeight="1" thickBot="1" x14ac:dyDescent="0.25">
      <c r="C1021" s="4" t="s">
        <v>5</v>
      </c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13552.16</v>
      </c>
      <c r="K1021" s="39">
        <v>13552.16</v>
      </c>
      <c r="L1021" s="26">
        <v>13552.16</v>
      </c>
      <c r="M1021" s="26">
        <v>13552.16</v>
      </c>
      <c r="N1021" s="26">
        <v>13552.16</v>
      </c>
      <c r="O1021" s="26">
        <v>13552.14</v>
      </c>
      <c r="P1021" s="26">
        <f>SUM(D1021:O1021)</f>
        <v>81312.94</v>
      </c>
    </row>
    <row r="1022" spans="1:16" ht="14.1" customHeight="1" thickBot="1" x14ac:dyDescent="0.25">
      <c r="C1022" s="6" t="s">
        <v>303</v>
      </c>
      <c r="D1022" s="27">
        <f t="shared" ref="D1022:P1022" si="162">SUM(D1019:D1021)</f>
        <v>0</v>
      </c>
      <c r="E1022" s="27">
        <f t="shared" si="162"/>
        <v>0</v>
      </c>
      <c r="F1022" s="27">
        <f t="shared" si="162"/>
        <v>0</v>
      </c>
      <c r="G1022" s="27">
        <f t="shared" si="162"/>
        <v>0</v>
      </c>
      <c r="H1022" s="27">
        <f t="shared" si="162"/>
        <v>0</v>
      </c>
      <c r="I1022" s="27">
        <f t="shared" si="162"/>
        <v>0</v>
      </c>
      <c r="J1022" s="27">
        <f t="shared" si="162"/>
        <v>13677.16</v>
      </c>
      <c r="K1022" s="40">
        <f t="shared" si="162"/>
        <v>13552.16</v>
      </c>
      <c r="L1022" s="27">
        <f t="shared" si="162"/>
        <v>13552.16</v>
      </c>
      <c r="M1022" s="27">
        <f t="shared" si="162"/>
        <v>13552.16</v>
      </c>
      <c r="N1022" s="27">
        <f t="shared" si="162"/>
        <v>13552.16</v>
      </c>
      <c r="O1022" s="27">
        <f t="shared" si="162"/>
        <v>13552.14</v>
      </c>
      <c r="P1022" s="27">
        <f t="shared" si="162"/>
        <v>81437.94</v>
      </c>
    </row>
    <row r="1023" spans="1:16" ht="14.1" customHeight="1" x14ac:dyDescent="0.2">
      <c r="C1023" s="12"/>
    </row>
    <row r="1024" spans="1:16" ht="14.1" customHeight="1" x14ac:dyDescent="0.25">
      <c r="A1024" s="1">
        <f>A1018+1</f>
        <v>95</v>
      </c>
      <c r="B1024" s="21"/>
      <c r="C1024" s="5" t="s">
        <v>304</v>
      </c>
    </row>
    <row r="1025" spans="2:16" ht="14.1" customHeight="1" x14ac:dyDescent="0.2">
      <c r="C1025" s="4" t="s">
        <v>3</v>
      </c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39">
        <v>0</v>
      </c>
      <c r="L1025" s="26">
        <v>0</v>
      </c>
      <c r="M1025" s="26">
        <v>0</v>
      </c>
      <c r="N1025" s="26">
        <v>0</v>
      </c>
      <c r="O1025" s="26">
        <v>0</v>
      </c>
      <c r="P1025" s="26">
        <f>SUM(D1025:O1025)</f>
        <v>0</v>
      </c>
    </row>
    <row r="1026" spans="2:16" ht="14.1" customHeight="1" x14ac:dyDescent="0.2">
      <c r="C1026" s="4" t="s">
        <v>4</v>
      </c>
      <c r="D1026" s="47"/>
      <c r="E1026" s="47"/>
      <c r="F1026" s="47"/>
      <c r="G1026" s="47"/>
      <c r="H1026" s="47"/>
      <c r="I1026" s="47"/>
      <c r="J1026" s="47"/>
      <c r="K1026" s="55">
        <v>104.17</v>
      </c>
      <c r="L1026" s="47"/>
      <c r="M1026" s="47"/>
      <c r="N1026" s="47"/>
      <c r="O1026" s="47"/>
      <c r="P1026" s="26">
        <f>SUM(D1026:O1026)</f>
        <v>104.17</v>
      </c>
    </row>
    <row r="1027" spans="2:16" ht="14.1" customHeight="1" thickBot="1" x14ac:dyDescent="0.25">
      <c r="C1027" s="4" t="s">
        <v>5</v>
      </c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39">
        <v>224354.96</v>
      </c>
      <c r="L1027" s="26">
        <v>238315.94</v>
      </c>
      <c r="M1027" s="26">
        <v>233265.01</v>
      </c>
      <c r="N1027" s="26">
        <v>237689.73</v>
      </c>
      <c r="O1027" s="26">
        <v>232658.99</v>
      </c>
      <c r="P1027" s="26">
        <f>SUM(D1027:O1027)</f>
        <v>1166284.6299999999</v>
      </c>
    </row>
    <row r="1028" spans="2:16" ht="14.1" customHeight="1" thickBot="1" x14ac:dyDescent="0.25">
      <c r="C1028" s="6" t="s">
        <v>185</v>
      </c>
      <c r="D1028" s="27">
        <f t="shared" ref="D1028:P1028" si="163">SUM(D1025:D1027)</f>
        <v>0</v>
      </c>
      <c r="E1028" s="27">
        <f t="shared" si="163"/>
        <v>0</v>
      </c>
      <c r="F1028" s="27">
        <f t="shared" si="163"/>
        <v>0</v>
      </c>
      <c r="G1028" s="27">
        <f t="shared" si="163"/>
        <v>0</v>
      </c>
      <c r="H1028" s="27">
        <f t="shared" si="163"/>
        <v>0</v>
      </c>
      <c r="I1028" s="27">
        <f t="shared" si="163"/>
        <v>0</v>
      </c>
      <c r="J1028" s="27">
        <f t="shared" si="163"/>
        <v>0</v>
      </c>
      <c r="K1028" s="40">
        <f t="shared" si="163"/>
        <v>224459.13</v>
      </c>
      <c r="L1028" s="27">
        <f t="shared" si="163"/>
        <v>238315.94</v>
      </c>
      <c r="M1028" s="27">
        <f t="shared" si="163"/>
        <v>233265.01</v>
      </c>
      <c r="N1028" s="27">
        <f t="shared" si="163"/>
        <v>237689.73</v>
      </c>
      <c r="O1028" s="27">
        <f t="shared" si="163"/>
        <v>232658.99</v>
      </c>
      <c r="P1028" s="27">
        <f t="shared" si="163"/>
        <v>1166388.7999999998</v>
      </c>
    </row>
    <row r="1029" spans="2:16" ht="14.1" customHeight="1" x14ac:dyDescent="0.2">
      <c r="C1029" s="12"/>
    </row>
    <row r="1030" spans="2:16" ht="14.1" customHeight="1" x14ac:dyDescent="0.25">
      <c r="C1030" s="5" t="s">
        <v>41</v>
      </c>
    </row>
    <row r="1031" spans="2:16" ht="14.1" customHeight="1" x14ac:dyDescent="0.25">
      <c r="C1031" s="4" t="s">
        <v>196</v>
      </c>
      <c r="D1031" s="28">
        <f>SUM(D5,D11,D17,D23,D29,D35,D41,D47,D53,D59,D65,D71,D77,D83,D89,D95,D101,D107,D113,D119,D125,D131,D137,D143,D149,D155,D161,D167,D173,D179)+SUM(D185,D191,D197,D203,D209,D215,D221,D227,D233,D239,D245,D251,D257,D263,D269,D275,D281,D287,D293,D299,D305,D311,D317,D323,D329,D335,D341,D347,D353,D359)+SUM(D365,D371,D377,D383,D389,D395,D401,D407,D413,D419,D425,D431,D437,D443,D449,D455,D461,D467,D473,D479,D485,D491,D497,D503,D509,D515,D521,D527,D533,D539)+SUM(D545,D551,D557,D563,D569,D575,D581,D587,D593,D599,D605,D611,D617,D623,D629,D635,D641,D647,D653,D659,D665,D671,D677,D683,D689)+SUM(D695,D701,D707,D713,D719,D725,D731,D737,D743,D749,D755,D761,D767,D773,D779,D785,D791,D797,D803,D809,D815,D821,D827,D833,D839,D845,D851,D857,D863,D869)+SUM(D875,D881,D887,D893,D899,D905,D911,D917,D923,D929,D935,D941,D947,D953,D959,D965,D971,D977,D983,D989,D995,D1001,D1007,D1013,D1019,D1025)</f>
        <v>30866.350000000002</v>
      </c>
      <c r="E1031" s="28">
        <f t="shared" ref="E1031:O1031" si="164">SUM(E5,E11,E17,E23,E29,E35,E41,E47,E53,E59,E65,E71,E77,E83,E89,E95,E101,E107,E113,E119,E125,E131,E137,E143,E149,E155,E161,E167,E173,E179)+SUM(E185,E191,E197,E203,E209,E215,E221,E227,E233,E239,E245,E251,E257,E263,E269,E275,E281,E287,E293,E299,E305,E311,E317,E323,E329,E335,E341,E347,E353,E359)+SUM(E365,E371,E377,E383,E389,E395,E401,E407,E413,E419,E425,E431,E437,E443,E449,E455,E461,E467,E473,E479,E485,E491,E497,E503,E509,E515,E521,E527,E533,E539)+SUM(E545,E551,E557,E563,E569,E575,E581,E587,E593,E599,E605,E611,E617,E623,E629,E635,E641,E647,E653,E659,E665,E671,E677,E683,E689)+SUM(E695,E701,E707,E713,E719,E725,E731,E737,E743,E749,E755,E761,E767,E773,E779,E785,E791,E797,E803,E809,E815,E821,E827,E833,E839,E845,E851,E857,E863,E869)+SUM(E875,E881,E887,E893,E899,E905,E911,E917,E923,E929,E935,E941,E947,E953,E959,E965,E971,E977,E983,E989,E995,E1001,E1007,E1013,E1019,E1025)</f>
        <v>34553.620000000003</v>
      </c>
      <c r="F1031" s="28">
        <f t="shared" si="164"/>
        <v>34553.620000000003</v>
      </c>
      <c r="G1031" s="28">
        <f t="shared" si="164"/>
        <v>34062.79</v>
      </c>
      <c r="H1031" s="28">
        <f t="shared" si="164"/>
        <v>34009.450000000004</v>
      </c>
      <c r="I1031" s="28">
        <f t="shared" si="164"/>
        <v>34003.620000000003</v>
      </c>
      <c r="J1031" s="28">
        <f t="shared" si="164"/>
        <v>33856.14</v>
      </c>
      <c r="K1031" s="41">
        <f t="shared" si="164"/>
        <v>33782.740000000005</v>
      </c>
      <c r="L1031" s="28">
        <f t="shared" si="164"/>
        <v>33652.36</v>
      </c>
      <c r="M1031" s="28">
        <f t="shared" si="164"/>
        <v>33605.240000000005</v>
      </c>
      <c r="N1031" s="28">
        <f t="shared" si="164"/>
        <v>33463.58</v>
      </c>
      <c r="O1031" s="28">
        <f t="shared" si="164"/>
        <v>33388.569999999992</v>
      </c>
      <c r="P1031" s="28">
        <f>SUM(D1031:O1031)</f>
        <v>403798.08</v>
      </c>
    </row>
    <row r="1032" spans="2:16" ht="14.1" customHeight="1" x14ac:dyDescent="0.25">
      <c r="C1032" s="4" t="s">
        <v>197</v>
      </c>
      <c r="D1032" s="28">
        <f>SUM(D6,D12,D18,D24,D30,D36,D42,D48,D54,D60,D66,D72,D78,D84,D90,D96,D102,D108,D114,D120,D126,D132,D138,D144,D150,D156,D162,D168,D174,D180)+SUM(D186,D192,D198,D204,D210,D216,D222,D228,D234,D240,D246,D252,D258,D264,D270,D276,D282,D288,D294,D300,D306,D312,D318,D324,D330,D336,D342,D348,D354,D360)+SUM(D366,D372,D378,D384,D390,D396,D402,D408,,D414,D420,D426,D432,D438,D444,D450,D456,D462,D468,D474,D480,D486,D492,D498,D504,D510,D516,D522,D528,D534)+SUM(D540,D546,D552,D558,D564,D570,D576,D582,D588,D594,D600,D606,D612,D618,D624,D630,D636,D642,D648,D654,D660,D666,D672,D678,D684,D690)+SUM(D696,D702,D708,D714,D720,D726,D732,D738,D744,D750,D756,D762,D768,D774,D780,D786,D792,D798,D804,D810,D816,D822,D828,D834,D840,D846,D852,D858,D864,D870)+SUM(D876,D882,D888,D894,D900,D906,D912,D918,D924,D930,D936,D942,D948,D954,D960,D966,D972,D978,D984,D990,D996,D1002,D1008,D1014,D1020,D1026)</f>
        <v>22750</v>
      </c>
      <c r="E1032" s="28">
        <f t="shared" ref="E1032:O1032" si="165">SUM(E6,E12,E18,E24,E30,E36,E42,E48,E54,E60,E66,E72,E78,E84,E90,E96,E102,E108,E114,E120,E126,E132,E138,E144,E150,E156,E162,E168,E174,E180)+SUM(E186,E192,E198,E204,E210,E216,E222,E228,E234,E240,E246,E252,E258,E264,E270,E276,E282,E288,E294,E300,E306,E312,E318,E324,E330,E336,E342,E348,E354,E360)+SUM(E366,E372,E378,E384,E390,E396,E402,E408,,E414,E420,E426,E432,E438,E444,E450,E456,E462,E468,E474,E480,E486,E492,E498,E504,E510,E516,E522,E528,E534)+SUM(E540,E546,E552,E558,E564,E570,E576,E582,E588,E594,E600,E606,E612,E618,E624,E630,E636,E642,E648,E654,E660,E666,E672,E678,E684,E690)+SUM(E696,E702,E708,E714,E720,E726,E732,E738,E744,E750,E756,E762,E768,E774,E780,E786,E792,E798,E804,E810,E816,E822,E828,E834,E840,E846,E852,E858,E864,E870)+SUM(E876,E882,E888,E894,E900,E906,E912,E918,E924,E930,E936,E942,E948,E954,E960,E966,E972,E978,E984,E990,E996,E1002,E1008,E1014,E1020,E1026)</f>
        <v>458.34</v>
      </c>
      <c r="F1032" s="28">
        <f t="shared" si="165"/>
        <v>0</v>
      </c>
      <c r="G1032" s="28">
        <f t="shared" si="165"/>
        <v>187.5</v>
      </c>
      <c r="H1032" s="28">
        <f t="shared" si="165"/>
        <v>500.01</v>
      </c>
      <c r="I1032" s="28">
        <f t="shared" si="165"/>
        <v>0</v>
      </c>
      <c r="J1032" s="28">
        <f t="shared" si="165"/>
        <v>125</v>
      </c>
      <c r="K1032" s="41">
        <f t="shared" si="165"/>
        <v>104.17</v>
      </c>
      <c r="L1032" s="28">
        <f t="shared" si="165"/>
        <v>0</v>
      </c>
      <c r="M1032" s="28">
        <f t="shared" si="165"/>
        <v>0</v>
      </c>
      <c r="N1032" s="28">
        <f t="shared" si="165"/>
        <v>0</v>
      </c>
      <c r="O1032" s="28">
        <f t="shared" si="165"/>
        <v>0</v>
      </c>
      <c r="P1032" s="28">
        <f>SUM(D1032:O1032)</f>
        <v>24125.019999999997</v>
      </c>
    </row>
    <row r="1033" spans="2:16" ht="14.1" customHeight="1" x14ac:dyDescent="0.25">
      <c r="C1033" s="4" t="s">
        <v>198</v>
      </c>
      <c r="D1033" s="28">
        <f>SUM(D7,D13,D19,D25,D31,D37,D43,D49,D55,D61,D67,D73,D79,D85,D91,D97,D103,D109,D115,D121,D127,D133,D139,D145,D151,D157,D163,D169,D175,D181)+SUM(D187,D193,D199,D205,D211,D217,D223,D229,D235,D241,D247,D253,D259,D265,D271,D277,D283,D289,D295,D301,D307,D313,D319,D325,D331,D337,D343,D349,D355,D361)+SUM(D367,D373,D379,D385,D391,D397,D403,D409,D415,D421,D427,D433,D439,D445,D451,D457,D463,D469,D475,D481,D487,D493,D499,D505,D511,D517,D523,D529,D535,D541)+SUM(D547,D553,D559,D565,D571,D577,D583,D589,D595,D601,D607,D613,D619,D625,D631,D637,D643,D649,D655,D661,D667,D673,D679,D685,D691)+SUM(D697,D703,D709,D715,D721,D727,D733,D739,D745,D751,D757,D763,D769,D775,D781,D787,D793,D799,D805,D811,D817,D823,D829,D835,D841,D847,D853,D859,D865,D871)+SUM(D877,D883,D889,D895,D901,D907,D913,D919,D925,D931,D937,D943,D949,D955,D961,D967,D973,D979,D985,D991,D997,D1003,D1009,D1015,D1021,D1027)</f>
        <v>6041183.2399999993</v>
      </c>
      <c r="E1033" s="28">
        <f t="shared" ref="E1033:O1034" si="166">SUM(E7,E13,E19,E25,E31,E37,E43,E49,E55,E61,E67,E73,E79,E85,E91,E97,E103,E109,E115,E121,E127,E133,E139,E145,E151,E157,E163,E169,E175,E181)+SUM(E187,E193,E199,E205,E211,E217,E223,E229,E235,E241,E247,E253,E259,E265,E271,E277,E283,E289,E295,E301,E307,E313,E319,E325,E331,E337,E343,E349,E355,E361)+SUM(E367,E373,E379,E385,E391,E397,E403,E409,E415,E421,E427,E433,E439,E445,E451,E457,E463,E469,E475,E481,E487,E493,E499,E505,E511,E517,E523,E529,E535,E541)+SUM(E547,E553,E559,E565,E571,E577,E583,E589,E595,E601,E607,E613,E619,E625,E631,E637,E643,E649,E655,E661,E667,E673,E679,E685,E691)+SUM(E697,E703,E709,E715,E721,E727,E733,E739,E745,E751,E757,E763,E769,E775,E781,E787,E793,E799,E805,E811,E817,E823,E829,E835,E841,E847,E853,E859,E865,E871)+SUM(E877,E883,E889,E895,E901,E907,E913,E919,E925,E931,E937,E943,E949,E955,E961,E967,E973,E979,E985,E991,E997,E1003,E1009,E1015,E1021,E1027)</f>
        <v>6021661.7699999996</v>
      </c>
      <c r="F1033" s="28">
        <f t="shared" si="166"/>
        <v>6033180.1199999992</v>
      </c>
      <c r="G1033" s="28">
        <f t="shared" si="166"/>
        <v>5997794.04</v>
      </c>
      <c r="H1033" s="28">
        <f t="shared" si="166"/>
        <v>6023716.9299999997</v>
      </c>
      <c r="I1033" s="28">
        <f t="shared" si="166"/>
        <v>6249558.5</v>
      </c>
      <c r="J1033" s="28">
        <f t="shared" si="166"/>
        <v>6263006.7800000003</v>
      </c>
      <c r="K1033" s="41">
        <f t="shared" si="166"/>
        <v>6491813.5399999991</v>
      </c>
      <c r="L1033" s="28">
        <f t="shared" si="166"/>
        <v>6577135.2599999988</v>
      </c>
      <c r="M1033" s="28">
        <f t="shared" si="166"/>
        <v>6566014</v>
      </c>
      <c r="N1033" s="28">
        <f t="shared" si="166"/>
        <v>6598860.5300000003</v>
      </c>
      <c r="O1033" s="28">
        <f t="shared" si="166"/>
        <v>6546528.540000001</v>
      </c>
      <c r="P1033" s="28">
        <f>SUM(D1033:O1033)</f>
        <v>75410453.25</v>
      </c>
    </row>
    <row r="1034" spans="2:16" ht="14.1" customHeight="1" x14ac:dyDescent="0.25">
      <c r="C1034" s="22" t="s">
        <v>199</v>
      </c>
      <c r="D1034" s="28">
        <f>SUM(D8,D14,D20,D26,D32,D38,D44,D50,D56,D62,D68,D74,D80,D86,D92,D98,D104,D110,D116,D122,D128,D134,D140,D146,D152,D158,D164,D170,D176,D182)+SUM(D188,D194,D200,D206,D212,D218,D224,D230,D236,D242,D248,D254,D260,D266,D272,D278,D284,D290,D296,D302,D308,D314,D320,D326,D332,D338,D344,D350,D356,D362)+SUM(D368,D374,D380,D386,D392,D398,D404,D410,D416,D422,D428,D434,D440,D446,D452,D458,D464,D470,D476,D482,D488,D494,D500,D506,D512,D518,D524,D530,D536,D542)+SUM(D548,D554,D560,D566,D572,D578,D584,D590,D596,D602,D608,D614,D620,D626,D632,D638,D644,D650,D656,D662,D668,D674,D680,D686,D692)+SUM(D698,D704,D710,D716,D722,D728,D734,D740,D746,D752,D758,D764,D770,D776,D782,D788,D794,D800,D806,D812,D818,D824,D830,D836,D842,D848,D854,D860,D866,D872)+SUM(D878,D884,D890,D896,D902,D908,D914,D920,D926,D932,D938,D944,D950,D956,D962,D968,D974,D980,D986,D992,D998,D1004,D1010,D1016,D1022,D1028)</f>
        <v>6094799.5899999989</v>
      </c>
      <c r="E1034" s="28">
        <f t="shared" si="166"/>
        <v>6056673.7300000004</v>
      </c>
      <c r="F1034" s="28">
        <f t="shared" si="166"/>
        <v>6067733.7399999984</v>
      </c>
      <c r="G1034" s="28">
        <f t="shared" si="166"/>
        <v>6032044.3300000001</v>
      </c>
      <c r="H1034" s="28">
        <f t="shared" si="166"/>
        <v>6058226.3899999997</v>
      </c>
      <c r="I1034" s="28">
        <f t="shared" si="166"/>
        <v>6283562.1199999992</v>
      </c>
      <c r="J1034" s="28">
        <f t="shared" si="166"/>
        <v>6296987.9199999999</v>
      </c>
      <c r="K1034" s="41">
        <f t="shared" si="166"/>
        <v>6525700.4499999993</v>
      </c>
      <c r="L1034" s="28">
        <f t="shared" si="166"/>
        <v>6610787.6200000001</v>
      </c>
      <c r="M1034" s="28">
        <f t="shared" si="166"/>
        <v>6599619.2400000002</v>
      </c>
      <c r="N1034" s="28">
        <f t="shared" si="166"/>
        <v>6632324.1099999994</v>
      </c>
      <c r="O1034" s="28">
        <f t="shared" si="166"/>
        <v>6579917.1099999994</v>
      </c>
      <c r="P1034" s="28">
        <f>SUM(D1034:O1034)</f>
        <v>75838376.349999994</v>
      </c>
    </row>
    <row r="1035" spans="2:16" ht="14.1" customHeight="1" x14ac:dyDescent="0.2">
      <c r="C1035" s="4"/>
    </row>
    <row r="1036" spans="2:16" ht="14.1" customHeight="1" x14ac:dyDescent="0.25">
      <c r="B1036" s="7" t="s">
        <v>104</v>
      </c>
      <c r="C1036" s="23" t="s">
        <v>84</v>
      </c>
    </row>
    <row r="1037" spans="2:16" ht="14.1" customHeight="1" x14ac:dyDescent="0.25">
      <c r="B1037" s="9" t="s">
        <v>105</v>
      </c>
      <c r="C1037" s="24" t="s">
        <v>61</v>
      </c>
    </row>
    <row r="1038" spans="2:16" ht="14.1" customHeight="1" x14ac:dyDescent="0.25">
      <c r="B1038" s="31" t="s">
        <v>103</v>
      </c>
      <c r="C1038" s="34" t="s">
        <v>56</v>
      </c>
    </row>
    <row r="1039" spans="2:16" ht="14.1" customHeight="1" x14ac:dyDescent="0.2">
      <c r="C1039" s="4"/>
    </row>
    <row r="1040" spans="2:16" ht="5.65" customHeight="1" x14ac:dyDescent="0.2">
      <c r="C1040" s="4"/>
    </row>
    <row r="1041" spans="3:6" ht="5.65" customHeight="1" x14ac:dyDescent="0.2">
      <c r="C1041" s="4"/>
    </row>
    <row r="1042" spans="3:6" ht="5.65" customHeight="1" x14ac:dyDescent="0.2">
      <c r="C1042" s="4"/>
    </row>
    <row r="1043" spans="3:6" ht="5.65" customHeight="1" x14ac:dyDescent="0.2">
      <c r="C1043" s="4"/>
    </row>
    <row r="1044" spans="3:6" ht="5.65" customHeight="1" x14ac:dyDescent="0.2">
      <c r="C1044" s="4"/>
    </row>
    <row r="1045" spans="3:6" ht="5.65" customHeight="1" x14ac:dyDescent="0.2">
      <c r="C1045" s="4"/>
    </row>
    <row r="1046" spans="3:6" ht="5.65" customHeight="1" x14ac:dyDescent="0.2">
      <c r="C1046" s="4"/>
    </row>
    <row r="1047" spans="3:6" ht="5.65" customHeight="1" x14ac:dyDescent="0.2">
      <c r="C1047" s="4"/>
    </row>
    <row r="1048" spans="3:6" ht="5.65" customHeight="1" x14ac:dyDescent="0.2">
      <c r="C1048" s="4"/>
    </row>
    <row r="1049" spans="3:6" ht="5.65" customHeight="1" x14ac:dyDescent="0.2">
      <c r="C1049" s="4"/>
      <c r="F1049" s="53"/>
    </row>
    <row r="1050" spans="3:6" ht="5.65" customHeight="1" x14ac:dyDescent="0.2">
      <c r="C1050" s="4"/>
      <c r="F1050" s="53"/>
    </row>
    <row r="1051" spans="3:6" ht="5.65" customHeight="1" x14ac:dyDescent="0.2">
      <c r="C1051" s="4"/>
      <c r="F1051" s="53"/>
    </row>
    <row r="1052" spans="3:6" ht="5.65" customHeight="1" x14ac:dyDescent="0.2">
      <c r="C1052" s="4"/>
    </row>
    <row r="1053" spans="3:6" ht="5.65" customHeight="1" x14ac:dyDescent="0.2">
      <c r="C1053" s="4"/>
    </row>
    <row r="1054" spans="3:6" ht="5.65" customHeight="1" x14ac:dyDescent="0.2">
      <c r="C1054" s="4"/>
    </row>
    <row r="1055" spans="3:6" ht="5.65" customHeight="1" x14ac:dyDescent="0.2">
      <c r="C1055" s="4"/>
    </row>
    <row r="1056" spans="3:6" ht="5.65" customHeight="1" x14ac:dyDescent="0.2">
      <c r="C1056" s="4"/>
    </row>
    <row r="1057" spans="3:3" ht="5.65" customHeight="1" x14ac:dyDescent="0.2">
      <c r="C1057" s="4"/>
    </row>
    <row r="1058" spans="3:3" ht="5.65" customHeight="1" x14ac:dyDescent="0.2">
      <c r="C1058" s="4"/>
    </row>
    <row r="1059" spans="3:3" ht="5.65" customHeight="1" x14ac:dyDescent="0.2">
      <c r="C1059" s="4"/>
    </row>
    <row r="1060" spans="3:3" ht="5.65" customHeight="1" x14ac:dyDescent="0.2">
      <c r="C1060" s="4"/>
    </row>
    <row r="1061" spans="3:3" ht="5.65" customHeight="1" x14ac:dyDescent="0.2">
      <c r="C1061" s="4"/>
    </row>
    <row r="1062" spans="3:3" ht="5.65" customHeight="1" x14ac:dyDescent="0.2">
      <c r="C1062" s="4"/>
    </row>
    <row r="1063" spans="3:3" ht="5.65" customHeight="1" x14ac:dyDescent="0.2">
      <c r="C1063" s="4"/>
    </row>
    <row r="1064" spans="3:3" ht="5.65" customHeight="1" x14ac:dyDescent="0.2">
      <c r="C1064" s="4"/>
    </row>
    <row r="1065" spans="3:3" ht="5.65" customHeight="1" x14ac:dyDescent="0.2">
      <c r="C1065" s="4"/>
    </row>
    <row r="1066" spans="3:3" ht="5.65" customHeight="1" x14ac:dyDescent="0.2">
      <c r="C1066" s="4"/>
    </row>
    <row r="1067" spans="3:3" ht="5.65" customHeight="1" x14ac:dyDescent="0.2">
      <c r="C1067" s="4"/>
    </row>
    <row r="1068" spans="3:3" ht="5.65" customHeight="1" x14ac:dyDescent="0.2">
      <c r="C1068" s="4"/>
    </row>
    <row r="1069" spans="3:3" ht="5.65" customHeight="1" x14ac:dyDescent="0.2">
      <c r="C1069" s="4"/>
    </row>
    <row r="1070" spans="3:3" ht="5.65" customHeight="1" x14ac:dyDescent="0.2">
      <c r="C1070" s="4"/>
    </row>
    <row r="1071" spans="3:3" ht="5.65" customHeight="1" x14ac:dyDescent="0.2">
      <c r="C1071" s="4"/>
    </row>
    <row r="1072" spans="3:3" ht="5.65" customHeight="1" x14ac:dyDescent="0.2">
      <c r="C1072" s="4"/>
    </row>
    <row r="1073" spans="3:3" ht="5.65" customHeight="1" x14ac:dyDescent="0.2">
      <c r="C1073" s="4"/>
    </row>
    <row r="1074" spans="3:3" ht="5.65" customHeight="1" x14ac:dyDescent="0.2">
      <c r="C1074" s="4"/>
    </row>
    <row r="1075" spans="3:3" ht="5.65" customHeight="1" x14ac:dyDescent="0.2">
      <c r="C1075" s="4"/>
    </row>
    <row r="1076" spans="3:3" ht="5.65" customHeight="1" x14ac:dyDescent="0.2">
      <c r="C1076" s="4"/>
    </row>
    <row r="1077" spans="3:3" ht="5.65" customHeight="1" x14ac:dyDescent="0.2">
      <c r="C1077" s="4"/>
    </row>
    <row r="1078" spans="3:3" ht="5.65" customHeight="1" x14ac:dyDescent="0.2">
      <c r="C1078" s="4"/>
    </row>
    <row r="1079" spans="3:3" ht="5.65" customHeight="1" x14ac:dyDescent="0.2">
      <c r="C1079" s="4"/>
    </row>
    <row r="1080" spans="3:3" ht="5.65" customHeight="1" x14ac:dyDescent="0.2">
      <c r="C1080" s="4"/>
    </row>
    <row r="1081" spans="3:3" ht="5.65" customHeight="1" x14ac:dyDescent="0.2">
      <c r="C1081" s="4"/>
    </row>
    <row r="1082" spans="3:3" ht="5.65" customHeight="1" x14ac:dyDescent="0.2">
      <c r="C1082" s="4"/>
    </row>
    <row r="1083" spans="3:3" ht="5.65" customHeight="1" x14ac:dyDescent="0.2">
      <c r="C1083" s="4"/>
    </row>
    <row r="1084" spans="3:3" ht="5.65" customHeight="1" x14ac:dyDescent="0.2">
      <c r="C1084" s="4"/>
    </row>
    <row r="1085" spans="3:3" ht="5.65" customHeight="1" x14ac:dyDescent="0.2">
      <c r="C1085" s="4"/>
    </row>
    <row r="1086" spans="3:3" ht="5.65" customHeight="1" x14ac:dyDescent="0.2">
      <c r="C1086" s="4"/>
    </row>
  </sheetData>
  <printOptions horizontalCentered="1"/>
  <pageMargins left="0" right="0" top="0.25" bottom="0.25" header="0.5" footer="0.5"/>
  <pageSetup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</dc:creator>
  <cp:lastModifiedBy>Magby, Julie</cp:lastModifiedBy>
  <cp:lastPrinted>2005-05-31T15:38:03Z</cp:lastPrinted>
  <dcterms:created xsi:type="dcterms:W3CDTF">2005-05-31T15:34:27Z</dcterms:created>
  <dcterms:modified xsi:type="dcterms:W3CDTF">2019-03-06T22:55:51Z</dcterms:modified>
</cp:coreProperties>
</file>